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Unlicensed version" sheetId="20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</sheets>
  <calcPr calcId="145621"/>
</workbook>
</file>

<file path=xl/calcChain.xml><?xml version="1.0" encoding="utf-8"?>
<calcChain xmlns="http://schemas.openxmlformats.org/spreadsheetml/2006/main">
  <c r="H40" i="1" l="1"/>
  <c r="H38" i="1"/>
  <c r="G40" i="1"/>
  <c r="G38" i="1"/>
  <c r="F40" i="1"/>
  <c r="F38" i="1"/>
  <c r="K38" i="1" l="1"/>
  <c r="J38" i="1"/>
  <c r="I40" i="1" l="1"/>
  <c r="E40" i="1"/>
  <c r="I38" i="1"/>
  <c r="E38" i="1"/>
  <c r="D40" i="1"/>
  <c r="C40" i="1"/>
  <c r="C38" i="1"/>
  <c r="D38" i="1"/>
  <c r="H41" i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1" i="19"/>
  <c r="H41" i="19"/>
  <c r="G41" i="19"/>
  <c r="F41" i="19"/>
  <c r="E41" i="19"/>
  <c r="D41" i="19"/>
  <c r="C41" i="19"/>
  <c r="I40" i="19"/>
  <c r="I39" i="19" s="1"/>
  <c r="H40" i="19"/>
  <c r="H39" i="19" s="1"/>
  <c r="G40" i="19"/>
  <c r="G39" i="19" s="1"/>
  <c r="F40" i="19"/>
  <c r="E40" i="19"/>
  <c r="E39" i="19" s="1"/>
  <c r="D40" i="19"/>
  <c r="C40" i="19"/>
  <c r="C39" i="19" s="1"/>
  <c r="F39" i="19"/>
  <c r="D39" i="19"/>
  <c r="K38" i="19"/>
  <c r="J38" i="19"/>
  <c r="I38" i="19"/>
  <c r="H38" i="19"/>
  <c r="G38" i="19"/>
  <c r="F38" i="19"/>
  <c r="E38" i="19"/>
  <c r="D38" i="19"/>
  <c r="C38" i="19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1" i="18"/>
  <c r="H41" i="18"/>
  <c r="G41" i="18"/>
  <c r="F41" i="18"/>
  <c r="E41" i="18"/>
  <c r="D41" i="18"/>
  <c r="C41" i="18"/>
  <c r="I40" i="18"/>
  <c r="I39" i="18" s="1"/>
  <c r="H40" i="18"/>
  <c r="G40" i="18"/>
  <c r="G39" i="18" s="1"/>
  <c r="F40" i="18"/>
  <c r="D40" i="18"/>
  <c r="D39" i="18" s="1"/>
  <c r="C40" i="18"/>
  <c r="C39" i="18" s="1"/>
  <c r="H39" i="18"/>
  <c r="F39" i="18"/>
  <c r="K38" i="18"/>
  <c r="J38" i="18"/>
  <c r="E40" i="18" s="1"/>
  <c r="I38" i="18"/>
  <c r="H38" i="18"/>
  <c r="G38" i="18"/>
  <c r="F38" i="18"/>
  <c r="D38" i="18"/>
  <c r="C38" i="18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1" i="17"/>
  <c r="H41" i="17"/>
  <c r="G41" i="17"/>
  <c r="F41" i="17"/>
  <c r="E41" i="17"/>
  <c r="D41" i="17"/>
  <c r="C41" i="17"/>
  <c r="I40" i="17"/>
  <c r="I39" i="17" s="1"/>
  <c r="H40" i="17"/>
  <c r="H39" i="17" s="1"/>
  <c r="G40" i="17"/>
  <c r="G39" i="17" s="1"/>
  <c r="F40" i="17"/>
  <c r="E40" i="17"/>
  <c r="E39" i="17" s="1"/>
  <c r="D40" i="17"/>
  <c r="C40" i="17"/>
  <c r="C39" i="17" s="1"/>
  <c r="F39" i="17"/>
  <c r="D39" i="17"/>
  <c r="K38" i="17"/>
  <c r="J38" i="17"/>
  <c r="I38" i="17"/>
  <c r="H38" i="17"/>
  <c r="G38" i="17"/>
  <c r="F38" i="17"/>
  <c r="E38" i="17"/>
  <c r="D38" i="17"/>
  <c r="C38" i="17"/>
  <c r="I47" i="16"/>
  <c r="H47" i="16"/>
  <c r="G47" i="16"/>
  <c r="F47" i="16"/>
  <c r="E47" i="16"/>
  <c r="D47" i="16"/>
  <c r="C47" i="16"/>
  <c r="I46" i="16"/>
  <c r="H46" i="16"/>
  <c r="G46" i="16"/>
  <c r="F46" i="16"/>
  <c r="E46" i="16"/>
  <c r="D46" i="16"/>
  <c r="C46" i="16"/>
  <c r="I41" i="16"/>
  <c r="H41" i="16"/>
  <c r="G41" i="16"/>
  <c r="F41" i="16"/>
  <c r="E41" i="16"/>
  <c r="D41" i="16"/>
  <c r="C41" i="16"/>
  <c r="I40" i="16"/>
  <c r="I39" i="16" s="1"/>
  <c r="H40" i="16"/>
  <c r="G40" i="16"/>
  <c r="G39" i="16" s="1"/>
  <c r="F40" i="16"/>
  <c r="D40" i="16"/>
  <c r="D39" i="16" s="1"/>
  <c r="C40" i="16"/>
  <c r="C39" i="16" s="1"/>
  <c r="H39" i="16"/>
  <c r="F39" i="16"/>
  <c r="K38" i="16"/>
  <c r="J38" i="16"/>
  <c r="E40" i="16" s="1"/>
  <c r="I38" i="16"/>
  <c r="H38" i="16"/>
  <c r="G38" i="16"/>
  <c r="F38" i="16"/>
  <c r="D38" i="16"/>
  <c r="C38" i="16"/>
  <c r="I47" i="15"/>
  <c r="H47" i="15"/>
  <c r="G47" i="15"/>
  <c r="F47" i="15"/>
  <c r="E47" i="15"/>
  <c r="D47" i="15"/>
  <c r="C47" i="15"/>
  <c r="I46" i="15"/>
  <c r="H46" i="15"/>
  <c r="G46" i="15"/>
  <c r="F46" i="15"/>
  <c r="E46" i="15"/>
  <c r="D46" i="15"/>
  <c r="C46" i="15"/>
  <c r="I41" i="15"/>
  <c r="H41" i="15"/>
  <c r="G41" i="15"/>
  <c r="F41" i="15"/>
  <c r="E41" i="15"/>
  <c r="D41" i="15"/>
  <c r="C41" i="15"/>
  <c r="I40" i="15"/>
  <c r="I39" i="15" s="1"/>
  <c r="H40" i="15"/>
  <c r="H39" i="15" s="1"/>
  <c r="G40" i="15"/>
  <c r="G39" i="15" s="1"/>
  <c r="F40" i="15"/>
  <c r="E40" i="15"/>
  <c r="E39" i="15" s="1"/>
  <c r="D40" i="15"/>
  <c r="C40" i="15"/>
  <c r="C39" i="15" s="1"/>
  <c r="F39" i="15"/>
  <c r="D39" i="15"/>
  <c r="K38" i="15"/>
  <c r="J38" i="15"/>
  <c r="I38" i="15"/>
  <c r="H38" i="15"/>
  <c r="G38" i="15"/>
  <c r="F38" i="15"/>
  <c r="E38" i="15"/>
  <c r="D38" i="15"/>
  <c r="C38" i="15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1" i="14"/>
  <c r="H41" i="14"/>
  <c r="G41" i="14"/>
  <c r="F41" i="14"/>
  <c r="E41" i="14"/>
  <c r="D41" i="14"/>
  <c r="C41" i="14"/>
  <c r="I40" i="14"/>
  <c r="I39" i="14" s="1"/>
  <c r="H40" i="14"/>
  <c r="G40" i="14"/>
  <c r="G39" i="14" s="1"/>
  <c r="F40" i="14"/>
  <c r="D40" i="14"/>
  <c r="D39" i="14" s="1"/>
  <c r="C40" i="14"/>
  <c r="C39" i="14" s="1"/>
  <c r="H39" i="14"/>
  <c r="F39" i="14"/>
  <c r="K38" i="14"/>
  <c r="J38" i="14"/>
  <c r="E40" i="14" s="1"/>
  <c r="I38" i="14"/>
  <c r="H38" i="14"/>
  <c r="G38" i="14"/>
  <c r="F38" i="14"/>
  <c r="D38" i="14"/>
  <c r="C38" i="14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1" i="13"/>
  <c r="H41" i="13"/>
  <c r="G41" i="13"/>
  <c r="F41" i="13"/>
  <c r="E41" i="13"/>
  <c r="D41" i="13"/>
  <c r="C41" i="13"/>
  <c r="H40" i="13"/>
  <c r="H39" i="13" s="1"/>
  <c r="G40" i="13"/>
  <c r="G39" i="13" s="1"/>
  <c r="F40" i="13"/>
  <c r="E40" i="13"/>
  <c r="E39" i="13" s="1"/>
  <c r="D40" i="13"/>
  <c r="C40" i="13"/>
  <c r="C39" i="13" s="1"/>
  <c r="F39" i="13"/>
  <c r="D39" i="13"/>
  <c r="K38" i="13"/>
  <c r="J38" i="13"/>
  <c r="I40" i="13" s="1"/>
  <c r="I39" i="13" s="1"/>
  <c r="I38" i="13"/>
  <c r="H38" i="13"/>
  <c r="G38" i="13"/>
  <c r="F38" i="13"/>
  <c r="E38" i="13"/>
  <c r="D38" i="13"/>
  <c r="C38" i="13"/>
  <c r="I47" i="12"/>
  <c r="H47" i="12"/>
  <c r="G47" i="12"/>
  <c r="F47" i="12"/>
  <c r="E47" i="12"/>
  <c r="D47" i="12"/>
  <c r="C47" i="12"/>
  <c r="I46" i="12"/>
  <c r="H46" i="12"/>
  <c r="G46" i="12"/>
  <c r="F46" i="12"/>
  <c r="E46" i="12"/>
  <c r="D46" i="12"/>
  <c r="C46" i="12"/>
  <c r="I41" i="12"/>
  <c r="H41" i="12"/>
  <c r="G41" i="12"/>
  <c r="F41" i="12"/>
  <c r="E41" i="12"/>
  <c r="D41" i="12"/>
  <c r="C41" i="12"/>
  <c r="I40" i="12"/>
  <c r="I39" i="12" s="1"/>
  <c r="H40" i="12"/>
  <c r="G40" i="12"/>
  <c r="G39" i="12" s="1"/>
  <c r="F40" i="12"/>
  <c r="D40" i="12"/>
  <c r="D39" i="12" s="1"/>
  <c r="C40" i="12"/>
  <c r="C39" i="12" s="1"/>
  <c r="H39" i="12"/>
  <c r="F39" i="12"/>
  <c r="K38" i="12"/>
  <c r="J38" i="12"/>
  <c r="E40" i="12" s="1"/>
  <c r="I38" i="12"/>
  <c r="H38" i="12"/>
  <c r="G38" i="12"/>
  <c r="F38" i="12"/>
  <c r="D38" i="12"/>
  <c r="C38" i="12"/>
  <c r="I47" i="11"/>
  <c r="H47" i="11"/>
  <c r="G47" i="11"/>
  <c r="F47" i="11"/>
  <c r="E47" i="11"/>
  <c r="D47" i="11"/>
  <c r="C47" i="11"/>
  <c r="I46" i="11"/>
  <c r="H46" i="11"/>
  <c r="G46" i="11"/>
  <c r="F46" i="11"/>
  <c r="E46" i="11"/>
  <c r="D46" i="11"/>
  <c r="C46" i="11"/>
  <c r="I41" i="11"/>
  <c r="H41" i="11"/>
  <c r="G41" i="11"/>
  <c r="F41" i="11"/>
  <c r="E41" i="11"/>
  <c r="D41" i="11"/>
  <c r="C41" i="11"/>
  <c r="H40" i="11"/>
  <c r="H39" i="11" s="1"/>
  <c r="G40" i="11"/>
  <c r="G39" i="11" s="1"/>
  <c r="F40" i="11"/>
  <c r="E40" i="11"/>
  <c r="E39" i="11" s="1"/>
  <c r="D40" i="11"/>
  <c r="C40" i="11"/>
  <c r="C39" i="11" s="1"/>
  <c r="F39" i="11"/>
  <c r="D39" i="11"/>
  <c r="K38" i="11"/>
  <c r="J38" i="11"/>
  <c r="I40" i="11" s="1"/>
  <c r="H38" i="11"/>
  <c r="G38" i="11"/>
  <c r="F38" i="11"/>
  <c r="E38" i="11"/>
  <c r="D38" i="11"/>
  <c r="C38" i="11"/>
  <c r="I47" i="10"/>
  <c r="H47" i="10"/>
  <c r="G47" i="10"/>
  <c r="F47" i="10"/>
  <c r="E47" i="10"/>
  <c r="D47" i="10"/>
  <c r="C47" i="10"/>
  <c r="I46" i="10"/>
  <c r="H46" i="10"/>
  <c r="G46" i="10"/>
  <c r="F46" i="10"/>
  <c r="E46" i="10"/>
  <c r="D46" i="10"/>
  <c r="C46" i="10"/>
  <c r="I41" i="10"/>
  <c r="H41" i="10"/>
  <c r="G41" i="10"/>
  <c r="F41" i="10"/>
  <c r="E41" i="10"/>
  <c r="D41" i="10"/>
  <c r="C41" i="10"/>
  <c r="I40" i="10"/>
  <c r="I39" i="10" s="1"/>
  <c r="H40" i="10"/>
  <c r="G40" i="10"/>
  <c r="G39" i="10" s="1"/>
  <c r="F40" i="10"/>
  <c r="D40" i="10"/>
  <c r="D39" i="10" s="1"/>
  <c r="C40" i="10"/>
  <c r="C39" i="10" s="1"/>
  <c r="H39" i="10"/>
  <c r="F39" i="10"/>
  <c r="K38" i="10"/>
  <c r="J38" i="10"/>
  <c r="E40" i="10" s="1"/>
  <c r="I38" i="10"/>
  <c r="H38" i="10"/>
  <c r="G38" i="10"/>
  <c r="F38" i="10"/>
  <c r="D38" i="10"/>
  <c r="C38" i="10"/>
  <c r="I47" i="9"/>
  <c r="H47" i="9"/>
  <c r="G47" i="9"/>
  <c r="F47" i="9"/>
  <c r="E47" i="9"/>
  <c r="D47" i="9"/>
  <c r="C47" i="9"/>
  <c r="I46" i="9"/>
  <c r="H46" i="9"/>
  <c r="G46" i="9"/>
  <c r="F46" i="9"/>
  <c r="E46" i="9"/>
  <c r="D46" i="9"/>
  <c r="C46" i="9"/>
  <c r="I41" i="9"/>
  <c r="H41" i="9"/>
  <c r="G41" i="9"/>
  <c r="F41" i="9"/>
  <c r="E41" i="9"/>
  <c r="D41" i="9"/>
  <c r="C41" i="9"/>
  <c r="H40" i="9"/>
  <c r="H39" i="9" s="1"/>
  <c r="G40" i="9"/>
  <c r="G39" i="9" s="1"/>
  <c r="F40" i="9"/>
  <c r="E40" i="9"/>
  <c r="E39" i="9" s="1"/>
  <c r="D40" i="9"/>
  <c r="C40" i="9"/>
  <c r="C39" i="9" s="1"/>
  <c r="F39" i="9"/>
  <c r="D39" i="9"/>
  <c r="K38" i="9"/>
  <c r="J38" i="9"/>
  <c r="I40" i="9" s="1"/>
  <c r="H38" i="9"/>
  <c r="G38" i="9"/>
  <c r="F38" i="9"/>
  <c r="E38" i="9"/>
  <c r="D38" i="9"/>
  <c r="C38" i="9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1" i="8"/>
  <c r="H41" i="8"/>
  <c r="G41" i="8"/>
  <c r="F41" i="8"/>
  <c r="E41" i="8"/>
  <c r="D41" i="8"/>
  <c r="C41" i="8"/>
  <c r="I40" i="8"/>
  <c r="I39" i="8" s="1"/>
  <c r="H40" i="8"/>
  <c r="G40" i="8"/>
  <c r="G39" i="8" s="1"/>
  <c r="F40" i="8"/>
  <c r="D40" i="8"/>
  <c r="D39" i="8" s="1"/>
  <c r="C40" i="8"/>
  <c r="C39" i="8" s="1"/>
  <c r="H39" i="8"/>
  <c r="F39" i="8"/>
  <c r="K38" i="8"/>
  <c r="J38" i="8"/>
  <c r="E40" i="8" s="1"/>
  <c r="I38" i="8"/>
  <c r="H38" i="8"/>
  <c r="G38" i="8"/>
  <c r="F38" i="8"/>
  <c r="D38" i="8"/>
  <c r="C38" i="8"/>
  <c r="I47" i="7"/>
  <c r="H47" i="7"/>
  <c r="G47" i="7"/>
  <c r="F47" i="7"/>
  <c r="E47" i="7"/>
  <c r="D47" i="7"/>
  <c r="C47" i="7"/>
  <c r="I46" i="7"/>
  <c r="H46" i="7"/>
  <c r="G46" i="7"/>
  <c r="F46" i="7"/>
  <c r="E46" i="7"/>
  <c r="D46" i="7"/>
  <c r="C46" i="7"/>
  <c r="I41" i="7"/>
  <c r="H41" i="7"/>
  <c r="G41" i="7"/>
  <c r="F41" i="7"/>
  <c r="E41" i="7"/>
  <c r="D41" i="7"/>
  <c r="C41" i="7"/>
  <c r="H40" i="7"/>
  <c r="H39" i="7" s="1"/>
  <c r="G40" i="7"/>
  <c r="G39" i="7" s="1"/>
  <c r="F40" i="7"/>
  <c r="E40" i="7"/>
  <c r="E39" i="7" s="1"/>
  <c r="D40" i="7"/>
  <c r="C40" i="7"/>
  <c r="C39" i="7" s="1"/>
  <c r="F39" i="7"/>
  <c r="D39" i="7"/>
  <c r="K38" i="7"/>
  <c r="J38" i="7"/>
  <c r="I40" i="7" s="1"/>
  <c r="H38" i="7"/>
  <c r="G38" i="7"/>
  <c r="F38" i="7"/>
  <c r="E38" i="7"/>
  <c r="D38" i="7"/>
  <c r="C38" i="7"/>
  <c r="I47" i="6"/>
  <c r="H47" i="6"/>
  <c r="G47" i="6"/>
  <c r="F47" i="6"/>
  <c r="E47" i="6"/>
  <c r="D47" i="6"/>
  <c r="C47" i="6"/>
  <c r="I46" i="6"/>
  <c r="H46" i="6"/>
  <c r="G46" i="6"/>
  <c r="F46" i="6"/>
  <c r="E46" i="6"/>
  <c r="D46" i="6"/>
  <c r="C46" i="6"/>
  <c r="I41" i="6"/>
  <c r="H41" i="6"/>
  <c r="G41" i="6"/>
  <c r="F41" i="6"/>
  <c r="E41" i="6"/>
  <c r="D41" i="6"/>
  <c r="C41" i="6"/>
  <c r="I40" i="6"/>
  <c r="I39" i="6" s="1"/>
  <c r="H40" i="6"/>
  <c r="G40" i="6"/>
  <c r="G39" i="6" s="1"/>
  <c r="F40" i="6"/>
  <c r="D40" i="6"/>
  <c r="D39" i="6" s="1"/>
  <c r="C40" i="6"/>
  <c r="C39" i="6" s="1"/>
  <c r="H39" i="6"/>
  <c r="F39" i="6"/>
  <c r="K38" i="6"/>
  <c r="J38" i="6"/>
  <c r="E40" i="6" s="1"/>
  <c r="I38" i="6"/>
  <c r="H38" i="6"/>
  <c r="G38" i="6"/>
  <c r="F38" i="6"/>
  <c r="D38" i="6"/>
  <c r="C38" i="6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1" i="5"/>
  <c r="H41" i="5"/>
  <c r="G41" i="5"/>
  <c r="F41" i="5"/>
  <c r="E41" i="5"/>
  <c r="D41" i="5"/>
  <c r="C41" i="5"/>
  <c r="H40" i="5"/>
  <c r="H39" i="5" s="1"/>
  <c r="G40" i="5"/>
  <c r="G39" i="5" s="1"/>
  <c r="F40" i="5"/>
  <c r="E40" i="5"/>
  <c r="E39" i="5" s="1"/>
  <c r="D40" i="5"/>
  <c r="C40" i="5"/>
  <c r="C39" i="5" s="1"/>
  <c r="F39" i="5"/>
  <c r="D39" i="5"/>
  <c r="K38" i="5"/>
  <c r="J38" i="5"/>
  <c r="I40" i="5" s="1"/>
  <c r="H38" i="5"/>
  <c r="G38" i="5"/>
  <c r="F38" i="5"/>
  <c r="E38" i="5"/>
  <c r="D38" i="5"/>
  <c r="C38" i="5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1" i="4"/>
  <c r="H41" i="4"/>
  <c r="G41" i="4"/>
  <c r="F41" i="4"/>
  <c r="E41" i="4"/>
  <c r="D41" i="4"/>
  <c r="C41" i="4"/>
  <c r="I40" i="4"/>
  <c r="I39" i="4" s="1"/>
  <c r="H40" i="4"/>
  <c r="G40" i="4"/>
  <c r="G39" i="4" s="1"/>
  <c r="F40" i="4"/>
  <c r="D40" i="4"/>
  <c r="D39" i="4" s="1"/>
  <c r="C40" i="4"/>
  <c r="C39" i="4" s="1"/>
  <c r="H39" i="4"/>
  <c r="F39" i="4"/>
  <c r="K38" i="4"/>
  <c r="J38" i="4"/>
  <c r="E40" i="4" s="1"/>
  <c r="I38" i="4"/>
  <c r="H38" i="4"/>
  <c r="G38" i="4"/>
  <c r="F38" i="4"/>
  <c r="D38" i="4"/>
  <c r="C38" i="4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1" i="3"/>
  <c r="H41" i="3"/>
  <c r="G41" i="3"/>
  <c r="F41" i="3"/>
  <c r="E41" i="3"/>
  <c r="D41" i="3"/>
  <c r="C41" i="3"/>
  <c r="H40" i="3"/>
  <c r="H39" i="3" s="1"/>
  <c r="G40" i="3"/>
  <c r="G39" i="3" s="1"/>
  <c r="F40" i="3"/>
  <c r="E40" i="3"/>
  <c r="E39" i="3" s="1"/>
  <c r="D40" i="3"/>
  <c r="C40" i="3"/>
  <c r="C39" i="3" s="1"/>
  <c r="F39" i="3"/>
  <c r="D39" i="3"/>
  <c r="K38" i="3"/>
  <c r="J38" i="3"/>
  <c r="I40" i="3" s="1"/>
  <c r="H38" i="3"/>
  <c r="G38" i="3"/>
  <c r="F38" i="3"/>
  <c r="E38" i="3"/>
  <c r="D38" i="3"/>
  <c r="C38" i="3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1" i="2"/>
  <c r="H41" i="2"/>
  <c r="G41" i="2"/>
  <c r="F41" i="2"/>
  <c r="E41" i="2"/>
  <c r="D41" i="2"/>
  <c r="C41" i="2"/>
  <c r="I40" i="2"/>
  <c r="I39" i="2" s="1"/>
  <c r="H40" i="2"/>
  <c r="G40" i="2"/>
  <c r="G39" i="2" s="1"/>
  <c r="F40" i="2"/>
  <c r="D40" i="2"/>
  <c r="D39" i="2" s="1"/>
  <c r="C40" i="2"/>
  <c r="C39" i="2" s="1"/>
  <c r="H39" i="2"/>
  <c r="F39" i="2"/>
  <c r="K38" i="2"/>
  <c r="J38" i="2"/>
  <c r="E40" i="2" s="1"/>
  <c r="I38" i="2"/>
  <c r="H38" i="2"/>
  <c r="G38" i="2"/>
  <c r="F38" i="2"/>
  <c r="D38" i="2"/>
  <c r="C38" i="2"/>
  <c r="E39" i="16" l="1"/>
  <c r="E39" i="4"/>
  <c r="E39" i="12"/>
  <c r="E38" i="2"/>
  <c r="E39" i="2" s="1"/>
  <c r="I38" i="3"/>
  <c r="I39" i="3" s="1"/>
  <c r="E38" i="4"/>
  <c r="I38" i="5"/>
  <c r="I39" i="5" s="1"/>
  <c r="E38" i="6"/>
  <c r="E39" i="6" s="1"/>
  <c r="I38" i="7"/>
  <c r="I39" i="7" s="1"/>
  <c r="E38" i="8"/>
  <c r="E39" i="8" s="1"/>
  <c r="I38" i="9"/>
  <c r="I39" i="9" s="1"/>
  <c r="E38" i="10"/>
  <c r="E39" i="10" s="1"/>
  <c r="I38" i="11"/>
  <c r="I39" i="11" s="1"/>
  <c r="E38" i="12"/>
  <c r="E38" i="14"/>
  <c r="E39" i="14" s="1"/>
  <c r="E38" i="16"/>
  <c r="E38" i="18"/>
  <c r="E39" i="18" s="1"/>
</calcChain>
</file>

<file path=xl/sharedStrings.xml><?xml version="1.0" encoding="utf-8"?>
<sst xmlns="http://schemas.openxmlformats.org/spreadsheetml/2006/main" count="951" uniqueCount="51">
  <si>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</si>
  <si>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</si>
  <si>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</si>
  <si>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</si>
  <si>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</si>
  <si>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</si>
  <si>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</si>
  <si>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</si>
  <si>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</si>
  <si>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</si>
  <si>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</si>
  <si>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</si>
  <si>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</si>
  <si>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Jackson (duration)</t>
  </si>
  <si>
    <t>Jackson (size)</t>
  </si>
  <si>
    <t>Protobuf.NET (size)</t>
  </si>
  <si>
    <t>Protobuf.NET (duration)</t>
  </si>
  <si>
    <t>.NET (instance only)</t>
  </si>
  <si>
    <t>JVM (instance only)</t>
  </si>
  <si>
    <t>Revenj.Net full</t>
  </si>
  <si>
    <t>Revenj.Net minimal</t>
  </si>
  <si>
    <t>DSL client Java full</t>
  </si>
  <si>
    <t>DSL client Java minimal</t>
  </si>
  <si>
    <t>Revenj.NET full (duration)</t>
  </si>
  <si>
    <t>Revenj.NET full (size)</t>
  </si>
  <si>
    <t>Revenj.NET minimal (duration)</t>
  </si>
  <si>
    <t>Revenj.NET minimal (size)</t>
  </si>
  <si>
    <t>DSL client Java full (duration)</t>
  </si>
  <si>
    <t>DSL client Java full (size)</t>
  </si>
  <si>
    <t>DSL client Java minimal (duration)</t>
  </si>
  <si>
    <t>DSL client Java minimal (size)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</si>
  <si>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</si>
  <si>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</si>
  <si>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</si>
  <si>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</si>
  <si>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</si>
  <si>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</si>
  <si>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</si>
  <si>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</si>
  <si>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</si>
  <si>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</si>
  <si>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</si>
  <si>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</si>
  <si>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</si>
  <si>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</si>
  <si>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</si>
  <si>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</si>
  <si>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</si>
  <si>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</si>
  <si>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</si>
  <si>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r>
      <rPr>
        <b/>
        <sz val="11"/>
        <rFont val="Calibri"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</si>
</sst>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0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80</c:v>
                </c:pt>
                <c:pt idx="1">
                  <c:v>3</c:v>
                </c:pt>
                <c:pt idx="2">
                  <c:v>3</c:v>
                </c:pt>
                <c:pt idx="3">
                  <c:v>42.666666666666664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33.333333333333336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13.666666666666671</c:v>
                </c:pt>
                <c:pt idx="1">
                  <c:v>12</c:v>
                </c:pt>
                <c:pt idx="2">
                  <c:v>12</c:v>
                </c:pt>
                <c:pt idx="3">
                  <c:v>23.333333333333336</c:v>
                </c:pt>
                <c:pt idx="4">
                  <c:v>2.666666666666667</c:v>
                </c:pt>
                <c:pt idx="5">
                  <c:v>0.66666666666666674</c:v>
                </c:pt>
                <c:pt idx="6">
                  <c:v>2.3333333333333286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15808"/>
        <c:axId val="143817344"/>
      </c:barChart>
      <c:catAx>
        <c:axId val="14381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817344"/>
        <c:crosses val="autoZero"/>
        <c:auto val="1"/>
        <c:lblAlgn val="ctr"/>
        <c:lblOffset val="100"/>
        <c:noMultiLvlLbl val="0"/>
      </c:catAx>
      <c:valAx>
        <c:axId val="14381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438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517777768</c:v>
                </c:pt>
                <c:pt idx="1">
                  <c:v>517777780</c:v>
                </c:pt>
                <c:pt idx="2">
                  <c:v>517777768</c:v>
                </c:pt>
                <c:pt idx="3">
                  <c:v>517777780</c:v>
                </c:pt>
                <c:pt idx="4">
                  <c:v>517777780</c:v>
                </c:pt>
                <c:pt idx="5">
                  <c:v>517777768</c:v>
                </c:pt>
                <c:pt idx="6">
                  <c:v>266775224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74944"/>
        <c:axId val="153476480"/>
      </c:barChart>
      <c:catAx>
        <c:axId val="153474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476480"/>
        <c:crosses val="autoZero"/>
        <c:auto val="1"/>
        <c:lblAlgn val="ctr"/>
        <c:lblOffset val="100"/>
        <c:noMultiLvlLbl val="0"/>
      </c:catAx>
      <c:valAx>
        <c:axId val="15347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34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335</c:v>
                </c:pt>
                <c:pt idx="1">
                  <c:v>91</c:v>
                </c:pt>
                <c:pt idx="2">
                  <c:v>89.666666666666671</c:v>
                </c:pt>
                <c:pt idx="3">
                  <c:v>203</c:v>
                </c:pt>
                <c:pt idx="4">
                  <c:v>157.33333333333334</c:v>
                </c:pt>
                <c:pt idx="5">
                  <c:v>155.33333333333334</c:v>
                </c:pt>
                <c:pt idx="6">
                  <c:v>51.333333333333329</c:v>
                </c:pt>
                <c:pt idx="7">
                  <c:v>25</c:v>
                </c:pt>
                <c:pt idx="8">
                  <c:v>83.666666666666671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847.33333333333326</c:v>
                </c:pt>
                <c:pt idx="1">
                  <c:v>921.33333333333326</c:v>
                </c:pt>
                <c:pt idx="2">
                  <c:v>932.00000000000011</c:v>
                </c:pt>
                <c:pt idx="3">
                  <c:v>185</c:v>
                </c:pt>
                <c:pt idx="4">
                  <c:v>72.333333333333314</c:v>
                </c:pt>
                <c:pt idx="5">
                  <c:v>80.666666666666657</c:v>
                </c:pt>
                <c:pt idx="6">
                  <c:v>79.333333333333329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4640"/>
        <c:axId val="153354624"/>
      </c:barChart>
      <c:catAx>
        <c:axId val="15334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354624"/>
        <c:crosses val="autoZero"/>
        <c:auto val="1"/>
        <c:lblAlgn val="ctr"/>
        <c:lblOffset val="100"/>
        <c:noMultiLvlLbl val="0"/>
      </c:catAx>
      <c:valAx>
        <c:axId val="15335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33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5725322</c:v>
                </c:pt>
                <c:pt idx="1">
                  <c:v>5724943</c:v>
                </c:pt>
                <c:pt idx="2">
                  <c:v>5724926</c:v>
                </c:pt>
                <c:pt idx="3">
                  <c:v>4477194</c:v>
                </c:pt>
                <c:pt idx="4">
                  <c:v>4477190</c:v>
                </c:pt>
                <c:pt idx="5">
                  <c:v>4477173</c:v>
                </c:pt>
                <c:pt idx="6">
                  <c:v>2921810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83680"/>
        <c:axId val="153385216"/>
      </c:barChart>
      <c:catAx>
        <c:axId val="15338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385216"/>
        <c:crosses val="autoZero"/>
        <c:auto val="1"/>
        <c:lblAlgn val="ctr"/>
        <c:lblOffset val="100"/>
        <c:noMultiLvlLbl val="0"/>
      </c:catAx>
      <c:valAx>
        <c:axId val="15338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33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3410.333333333333</c:v>
                </c:pt>
                <c:pt idx="1">
                  <c:v>913.33333333333337</c:v>
                </c:pt>
                <c:pt idx="2">
                  <c:v>893.33333333333337</c:v>
                </c:pt>
                <c:pt idx="3">
                  <c:v>1085.6666666666667</c:v>
                </c:pt>
                <c:pt idx="4">
                  <c:v>665.33333333333337</c:v>
                </c:pt>
                <c:pt idx="5">
                  <c:v>670.66666666666663</c:v>
                </c:pt>
                <c:pt idx="6">
                  <c:v>492</c:v>
                </c:pt>
                <c:pt idx="7">
                  <c:v>244.33333333333334</c:v>
                </c:pt>
                <c:pt idx="8">
                  <c:v>400.33333333333331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8570.3333333333321</c:v>
                </c:pt>
                <c:pt idx="1">
                  <c:v>9031.9999999999982</c:v>
                </c:pt>
                <c:pt idx="2">
                  <c:v>9137.6666666666661</c:v>
                </c:pt>
                <c:pt idx="3">
                  <c:v>1120.9999999999998</c:v>
                </c:pt>
                <c:pt idx="4">
                  <c:v>387.33333333333337</c:v>
                </c:pt>
                <c:pt idx="5">
                  <c:v>359.66666666666663</c:v>
                </c:pt>
                <c:pt idx="6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91360"/>
        <c:axId val="154192896"/>
      </c:barChart>
      <c:catAx>
        <c:axId val="15419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192896"/>
        <c:crosses val="autoZero"/>
        <c:auto val="1"/>
        <c:lblAlgn val="ctr"/>
        <c:lblOffset val="100"/>
        <c:noMultiLvlLbl val="0"/>
      </c:catAx>
      <c:valAx>
        <c:axId val="15419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4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59249265</c:v>
                </c:pt>
                <c:pt idx="1">
                  <c:v>59245286</c:v>
                </c:pt>
                <c:pt idx="2">
                  <c:v>59245269</c:v>
                </c:pt>
                <c:pt idx="3">
                  <c:v>46514394</c:v>
                </c:pt>
                <c:pt idx="4">
                  <c:v>46514390</c:v>
                </c:pt>
                <c:pt idx="5">
                  <c:v>46514373</c:v>
                </c:pt>
                <c:pt idx="6">
                  <c:v>29374542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3536"/>
        <c:axId val="154043520"/>
      </c:barChart>
      <c:catAx>
        <c:axId val="15403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043520"/>
        <c:crosses val="autoZero"/>
        <c:auto val="1"/>
        <c:lblAlgn val="ctr"/>
        <c:lblOffset val="100"/>
        <c:noMultiLvlLbl val="0"/>
      </c:catAx>
      <c:valAx>
        <c:axId val="15404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40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33946</c:v>
                </c:pt>
                <c:pt idx="1">
                  <c:v>9251</c:v>
                </c:pt>
                <c:pt idx="2">
                  <c:v>9132.3333333333339</c:v>
                </c:pt>
                <c:pt idx="3">
                  <c:v>8864.3333333333339</c:v>
                </c:pt>
                <c:pt idx="4">
                  <c:v>5861</c:v>
                </c:pt>
                <c:pt idx="5">
                  <c:v>5847.333333333333</c:v>
                </c:pt>
                <c:pt idx="6">
                  <c:v>4790.666666666667</c:v>
                </c:pt>
                <c:pt idx="7">
                  <c:v>2404</c:v>
                </c:pt>
                <c:pt idx="8">
                  <c:v>3229.3333333333335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86692</c:v>
                </c:pt>
                <c:pt idx="1">
                  <c:v>88631</c:v>
                </c:pt>
                <c:pt idx="2">
                  <c:v>88572.333333333343</c:v>
                </c:pt>
                <c:pt idx="3">
                  <c:v>10290.999999999998</c:v>
                </c:pt>
                <c:pt idx="4">
                  <c:v>3110.6666666666661</c:v>
                </c:pt>
                <c:pt idx="5">
                  <c:v>3197.666666666667</c:v>
                </c:pt>
                <c:pt idx="6">
                  <c:v>7929.666666666667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62240"/>
        <c:axId val="154363776"/>
      </c:barChart>
      <c:catAx>
        <c:axId val="15436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363776"/>
        <c:crosses val="autoZero"/>
        <c:auto val="1"/>
        <c:lblAlgn val="ctr"/>
        <c:lblOffset val="100"/>
        <c:noMultiLvlLbl val="0"/>
      </c:catAx>
      <c:valAx>
        <c:axId val="15436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43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612560699</c:v>
                </c:pt>
                <c:pt idx="1">
                  <c:v>612520720</c:v>
                </c:pt>
                <c:pt idx="2">
                  <c:v>612520703</c:v>
                </c:pt>
                <c:pt idx="3">
                  <c:v>471015610</c:v>
                </c:pt>
                <c:pt idx="4">
                  <c:v>471015606</c:v>
                </c:pt>
                <c:pt idx="5">
                  <c:v>471015589</c:v>
                </c:pt>
                <c:pt idx="6">
                  <c:v>301846216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4640"/>
        <c:axId val="154730496"/>
      </c:barChart>
      <c:catAx>
        <c:axId val="15438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730496"/>
        <c:crosses val="autoZero"/>
        <c:auto val="1"/>
        <c:lblAlgn val="ctr"/>
        <c:lblOffset val="100"/>
        <c:noMultiLvlLbl val="0"/>
      </c:catAx>
      <c:valAx>
        <c:axId val="15473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4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439.33333333333337</c:v>
                </c:pt>
                <c:pt idx="1">
                  <c:v>222</c:v>
                </c:pt>
                <c:pt idx="2">
                  <c:v>221</c:v>
                </c:pt>
                <c:pt idx="3">
                  <c:v>566</c:v>
                </c:pt>
                <c:pt idx="4">
                  <c:v>385.33333333333331</c:v>
                </c:pt>
                <c:pt idx="5">
                  <c:v>393</c:v>
                </c:pt>
                <c:pt idx="6">
                  <c:v>148.66666666666663</c:v>
                </c:pt>
                <c:pt idx="7">
                  <c:v>450</c:v>
                </c:pt>
                <c:pt idx="8">
                  <c:v>324.66666666666669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1449.333333333333</c:v>
                </c:pt>
                <c:pt idx="1">
                  <c:v>477.66666666666674</c:v>
                </c:pt>
                <c:pt idx="2">
                  <c:v>470.33333333333326</c:v>
                </c:pt>
                <c:pt idx="3">
                  <c:v>487.66666666666674</c:v>
                </c:pt>
                <c:pt idx="4">
                  <c:v>80.333333333333371</c:v>
                </c:pt>
                <c:pt idx="5">
                  <c:v>64.333333333333314</c:v>
                </c:pt>
                <c:pt idx="6">
                  <c:v>650.66666666666663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88224"/>
        <c:axId val="153068288"/>
      </c:barChart>
      <c:catAx>
        <c:axId val="15518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068288"/>
        <c:crosses val="autoZero"/>
        <c:auto val="1"/>
        <c:lblAlgn val="ctr"/>
        <c:lblOffset val="100"/>
        <c:noMultiLvlLbl val="0"/>
      </c:catAx>
      <c:valAx>
        <c:axId val="15306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1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12985962</c:v>
                </c:pt>
                <c:pt idx="1">
                  <c:v>12736183.333333334</c:v>
                </c:pt>
                <c:pt idx="2">
                  <c:v>11986235</c:v>
                </c:pt>
                <c:pt idx="3">
                  <c:v>12787103</c:v>
                </c:pt>
                <c:pt idx="4">
                  <c:v>12787087</c:v>
                </c:pt>
                <c:pt idx="5">
                  <c:v>12037087</c:v>
                </c:pt>
                <c:pt idx="6">
                  <c:v>5585034.333333333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9312"/>
        <c:axId val="153950848"/>
      </c:barChart>
      <c:catAx>
        <c:axId val="15394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50848"/>
        <c:crosses val="autoZero"/>
        <c:auto val="1"/>
        <c:lblAlgn val="ctr"/>
        <c:lblOffset val="100"/>
        <c:noMultiLvlLbl val="0"/>
      </c:catAx>
      <c:valAx>
        <c:axId val="1539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39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4255</c:v>
                </c:pt>
                <c:pt idx="1">
                  <c:v>2255</c:v>
                </c:pt>
                <c:pt idx="2">
                  <c:v>2207</c:v>
                </c:pt>
                <c:pt idx="3">
                  <c:v>3907.6666666666665</c:v>
                </c:pt>
                <c:pt idx="4">
                  <c:v>2846.3333333333335</c:v>
                </c:pt>
                <c:pt idx="5">
                  <c:v>2868.6666666666665</c:v>
                </c:pt>
                <c:pt idx="6">
                  <c:v>1465.333333333333</c:v>
                </c:pt>
                <c:pt idx="7">
                  <c:v>4367</c:v>
                </c:pt>
                <c:pt idx="8">
                  <c:v>2475.6666666666665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14675</c:v>
                </c:pt>
                <c:pt idx="1">
                  <c:v>4790.6666666666661</c:v>
                </c:pt>
                <c:pt idx="2">
                  <c:v>4736</c:v>
                </c:pt>
                <c:pt idx="3">
                  <c:v>3675.3333333333335</c:v>
                </c:pt>
                <c:pt idx="4">
                  <c:v>693.33333333333303</c:v>
                </c:pt>
                <c:pt idx="5">
                  <c:v>665</c:v>
                </c:pt>
                <c:pt idx="6">
                  <c:v>6514.0000000000009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8512"/>
        <c:axId val="155250048"/>
      </c:barChart>
      <c:catAx>
        <c:axId val="15524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250048"/>
        <c:crosses val="autoZero"/>
        <c:auto val="1"/>
        <c:lblAlgn val="ctr"/>
        <c:lblOffset val="100"/>
        <c:noMultiLvlLbl val="0"/>
      </c:catAx>
      <c:valAx>
        <c:axId val="155250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28</c:v>
                </c:pt>
                <c:pt idx="1">
                  <c:v>40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6400"/>
        <c:axId val="145371904"/>
      </c:barChart>
      <c:catAx>
        <c:axId val="14384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371904"/>
        <c:crosses val="autoZero"/>
        <c:auto val="1"/>
        <c:lblAlgn val="ctr"/>
        <c:lblOffset val="100"/>
        <c:noMultiLvlLbl val="0"/>
      </c:catAx>
      <c:valAx>
        <c:axId val="1453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38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130859825.66666667</c:v>
                </c:pt>
                <c:pt idx="1">
                  <c:v>128364304.33333333</c:v>
                </c:pt>
                <c:pt idx="2">
                  <c:v>120862894.33333333</c:v>
                </c:pt>
                <c:pt idx="3">
                  <c:v>128871261</c:v>
                </c:pt>
                <c:pt idx="4">
                  <c:v>128871258</c:v>
                </c:pt>
                <c:pt idx="5">
                  <c:v>121371258</c:v>
                </c:pt>
                <c:pt idx="6">
                  <c:v>56846149.666666664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75264"/>
        <c:axId val="155276800"/>
      </c:barChart>
      <c:catAx>
        <c:axId val="155275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276800"/>
        <c:crosses val="autoZero"/>
        <c:auto val="1"/>
        <c:lblAlgn val="ctr"/>
        <c:lblOffset val="100"/>
        <c:noMultiLvlLbl val="0"/>
      </c:catAx>
      <c:valAx>
        <c:axId val="15527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52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42912.666666666664</c:v>
                </c:pt>
                <c:pt idx="1">
                  <c:v>22853.333333333336</c:v>
                </c:pt>
                <c:pt idx="2">
                  <c:v>22387.333333333336</c:v>
                </c:pt>
                <c:pt idx="3">
                  <c:v>37864.333333333336</c:v>
                </c:pt>
                <c:pt idx="4">
                  <c:v>27960.333333333332</c:v>
                </c:pt>
                <c:pt idx="5">
                  <c:v>27680.333333333332</c:v>
                </c:pt>
                <c:pt idx="6">
                  <c:v>14930</c:v>
                </c:pt>
                <c:pt idx="7">
                  <c:v>43621.666666666664</c:v>
                </c:pt>
                <c:pt idx="8">
                  <c:v>24191.666666666668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147238.33333333334</c:v>
                </c:pt>
                <c:pt idx="1">
                  <c:v>47472.333333333321</c:v>
                </c:pt>
                <c:pt idx="2">
                  <c:v>46508.666666666664</c:v>
                </c:pt>
                <c:pt idx="3">
                  <c:v>37994.999999999993</c:v>
                </c:pt>
                <c:pt idx="4">
                  <c:v>6232.3333333333321</c:v>
                </c:pt>
                <c:pt idx="5">
                  <c:v>6078.0000000000036</c:v>
                </c:pt>
                <c:pt idx="6">
                  <c:v>65061.333333333343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79296"/>
        <c:axId val="153880832"/>
      </c:barChart>
      <c:catAx>
        <c:axId val="15387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880832"/>
        <c:crosses val="autoZero"/>
        <c:auto val="1"/>
        <c:lblAlgn val="ctr"/>
        <c:lblOffset val="100"/>
        <c:noMultiLvlLbl val="0"/>
      </c:catAx>
      <c:valAx>
        <c:axId val="15388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3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1318618236</c:v>
                </c:pt>
                <c:pt idx="1">
                  <c:v>1293640103</c:v>
                </c:pt>
                <c:pt idx="2">
                  <c:v>1218628888.6666667</c:v>
                </c:pt>
                <c:pt idx="3">
                  <c:v>1298716395</c:v>
                </c:pt>
                <c:pt idx="4">
                  <c:v>1298716389</c:v>
                </c:pt>
                <c:pt idx="5">
                  <c:v>1223716389</c:v>
                </c:pt>
                <c:pt idx="6">
                  <c:v>578464448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01696"/>
        <c:axId val="153903488"/>
      </c:barChart>
      <c:catAx>
        <c:axId val="15390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03488"/>
        <c:crosses val="autoZero"/>
        <c:auto val="1"/>
        <c:lblAlgn val="ctr"/>
        <c:lblOffset val="100"/>
        <c:noMultiLvlLbl val="0"/>
      </c:catAx>
      <c:valAx>
        <c:axId val="15390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3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139</c:v>
                </c:pt>
                <c:pt idx="1">
                  <c:v>36</c:v>
                </c:pt>
                <c:pt idx="2">
                  <c:v>34.666666666666664</c:v>
                </c:pt>
                <c:pt idx="3">
                  <c:v>252.66666666666666</c:v>
                </c:pt>
                <c:pt idx="4">
                  <c:v>88.333333333333329</c:v>
                </c:pt>
                <c:pt idx="5">
                  <c:v>86.666666666666671</c:v>
                </c:pt>
                <c:pt idx="6">
                  <c:v>62</c:v>
                </c:pt>
                <c:pt idx="7">
                  <c:v>11</c:v>
                </c:pt>
                <c:pt idx="8">
                  <c:v>33.333333333333336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140.66666666666669</c:v>
                </c:pt>
                <c:pt idx="1">
                  <c:v>111.66666666666666</c:v>
                </c:pt>
                <c:pt idx="2">
                  <c:v>99.333333333333343</c:v>
                </c:pt>
                <c:pt idx="3">
                  <c:v>275</c:v>
                </c:pt>
                <c:pt idx="4">
                  <c:v>64.666666666666671</c:v>
                </c:pt>
                <c:pt idx="5">
                  <c:v>55.999999999999986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42208"/>
        <c:axId val="155743744"/>
      </c:barChart>
      <c:catAx>
        <c:axId val="15574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743744"/>
        <c:crosses val="autoZero"/>
        <c:auto val="1"/>
        <c:lblAlgn val="ctr"/>
        <c:lblOffset val="100"/>
        <c:noMultiLvlLbl val="0"/>
      </c:catAx>
      <c:valAx>
        <c:axId val="15574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7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1777253</c:v>
                </c:pt>
                <c:pt idx="1">
                  <c:v>2249785</c:v>
                </c:pt>
                <c:pt idx="2">
                  <c:v>1802584</c:v>
                </c:pt>
                <c:pt idx="3">
                  <c:v>1763995</c:v>
                </c:pt>
                <c:pt idx="4">
                  <c:v>2203118.3333333335</c:v>
                </c:pt>
                <c:pt idx="5">
                  <c:v>1762584</c:v>
                </c:pt>
                <c:pt idx="6">
                  <c:v>704000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60512"/>
        <c:axId val="155762048"/>
      </c:barChart>
      <c:catAx>
        <c:axId val="15576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762048"/>
        <c:crosses val="autoZero"/>
        <c:auto val="1"/>
        <c:lblAlgn val="ctr"/>
        <c:lblOffset val="100"/>
        <c:noMultiLvlLbl val="0"/>
      </c:catAx>
      <c:valAx>
        <c:axId val="1557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57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680.33333333333337</c:v>
                </c:pt>
                <c:pt idx="1">
                  <c:v>273</c:v>
                </c:pt>
                <c:pt idx="2">
                  <c:v>252.33333333333331</c:v>
                </c:pt>
                <c:pt idx="3">
                  <c:v>503.33333333333331</c:v>
                </c:pt>
                <c:pt idx="4">
                  <c:v>221.66666666666666</c:v>
                </c:pt>
                <c:pt idx="5">
                  <c:v>208.33333333333334</c:v>
                </c:pt>
                <c:pt idx="6">
                  <c:v>148</c:v>
                </c:pt>
                <c:pt idx="7">
                  <c:v>27</c:v>
                </c:pt>
                <c:pt idx="8">
                  <c:v>71.333333333333329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1231.3333333333335</c:v>
                </c:pt>
                <c:pt idx="1">
                  <c:v>896</c:v>
                </c:pt>
                <c:pt idx="2">
                  <c:v>844.66666666666674</c:v>
                </c:pt>
                <c:pt idx="3">
                  <c:v>744.66666666666674</c:v>
                </c:pt>
                <c:pt idx="4">
                  <c:v>202.33333333333334</c:v>
                </c:pt>
                <c:pt idx="5">
                  <c:v>217.99999999999997</c:v>
                </c:pt>
                <c:pt idx="6">
                  <c:v>224.33333333333331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33312"/>
        <c:axId val="155939200"/>
      </c:barChart>
      <c:catAx>
        <c:axId val="15593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939200"/>
        <c:crosses val="autoZero"/>
        <c:auto val="1"/>
        <c:lblAlgn val="ctr"/>
        <c:lblOffset val="100"/>
        <c:noMultiLvlLbl val="0"/>
      </c:catAx>
      <c:valAx>
        <c:axId val="15593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9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18653178.666666668</c:v>
                </c:pt>
                <c:pt idx="1">
                  <c:v>23399332</c:v>
                </c:pt>
                <c:pt idx="2">
                  <c:v>18939843</c:v>
                </c:pt>
                <c:pt idx="3">
                  <c:v>18541254</c:v>
                </c:pt>
                <c:pt idx="4">
                  <c:v>22999332</c:v>
                </c:pt>
                <c:pt idx="5">
                  <c:v>18539843</c:v>
                </c:pt>
                <c:pt idx="6">
                  <c:v>7506385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55968"/>
        <c:axId val="155957504"/>
      </c:barChart>
      <c:catAx>
        <c:axId val="155955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957504"/>
        <c:crosses val="autoZero"/>
        <c:auto val="1"/>
        <c:lblAlgn val="ctr"/>
        <c:lblOffset val="100"/>
        <c:noMultiLvlLbl val="0"/>
      </c:catAx>
      <c:valAx>
        <c:axId val="1559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59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6200</c:v>
                </c:pt>
                <c:pt idx="1">
                  <c:v>2634.666666666667</c:v>
                </c:pt>
                <c:pt idx="2">
                  <c:v>2488.3333333333335</c:v>
                </c:pt>
                <c:pt idx="3">
                  <c:v>1993.6666666666667</c:v>
                </c:pt>
                <c:pt idx="4">
                  <c:v>1024.3333333333333</c:v>
                </c:pt>
                <c:pt idx="5">
                  <c:v>996</c:v>
                </c:pt>
                <c:pt idx="6">
                  <c:v>1068.3333333333333</c:v>
                </c:pt>
                <c:pt idx="7">
                  <c:v>185.66666666666666</c:v>
                </c:pt>
                <c:pt idx="8">
                  <c:v>275.66666666666669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12257.666666666664</c:v>
                </c:pt>
                <c:pt idx="1">
                  <c:v>9528</c:v>
                </c:pt>
                <c:pt idx="2">
                  <c:v>8303</c:v>
                </c:pt>
                <c:pt idx="3">
                  <c:v>5394</c:v>
                </c:pt>
                <c:pt idx="4">
                  <c:v>1056.0000000000002</c:v>
                </c:pt>
                <c:pt idx="5">
                  <c:v>985.66666666666674</c:v>
                </c:pt>
                <c:pt idx="6">
                  <c:v>2190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5792"/>
        <c:axId val="155507328"/>
      </c:barChart>
      <c:catAx>
        <c:axId val="15550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07328"/>
        <c:crosses val="autoZero"/>
        <c:auto val="1"/>
        <c:lblAlgn val="ctr"/>
        <c:lblOffset val="100"/>
        <c:noMultiLvlLbl val="0"/>
      </c:catAx>
      <c:valAx>
        <c:axId val="15550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55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195941225</c:v>
                </c:pt>
                <c:pt idx="1">
                  <c:v>243056893</c:v>
                </c:pt>
                <c:pt idx="2">
                  <c:v>198474556</c:v>
                </c:pt>
                <c:pt idx="3">
                  <c:v>194475967</c:v>
                </c:pt>
                <c:pt idx="4">
                  <c:v>239056893</c:v>
                </c:pt>
                <c:pt idx="5">
                  <c:v>194474556</c:v>
                </c:pt>
                <c:pt idx="6">
                  <c:v>79244720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0160"/>
        <c:axId val="156394240"/>
      </c:barChart>
      <c:catAx>
        <c:axId val="156380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394240"/>
        <c:crosses val="autoZero"/>
        <c:auto val="1"/>
        <c:lblAlgn val="ctr"/>
        <c:lblOffset val="100"/>
        <c:noMultiLvlLbl val="0"/>
      </c:catAx>
      <c:valAx>
        <c:axId val="15639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63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8257.6666666666679</c:v>
                </c:pt>
                <c:pt idx="1">
                  <c:v>1326.6666666666665</c:v>
                </c:pt>
                <c:pt idx="2">
                  <c:v>1300</c:v>
                </c:pt>
                <c:pt idx="3">
                  <c:v>845</c:v>
                </c:pt>
                <c:pt idx="4">
                  <c:v>490.66666666666669</c:v>
                </c:pt>
                <c:pt idx="5">
                  <c:v>470.66666666666669</c:v>
                </c:pt>
                <c:pt idx="6">
                  <c:v>419.99999999999994</c:v>
                </c:pt>
                <c:pt idx="7">
                  <c:v>388.66666666666669</c:v>
                </c:pt>
                <c:pt idx="8">
                  <c:v>225.66666666666666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11265.333333333332</c:v>
                </c:pt>
                <c:pt idx="1">
                  <c:v>2030.666666666667</c:v>
                </c:pt>
                <c:pt idx="2">
                  <c:v>1853</c:v>
                </c:pt>
                <c:pt idx="3">
                  <c:v>1987</c:v>
                </c:pt>
                <c:pt idx="4">
                  <c:v>335.99999999999994</c:v>
                </c:pt>
                <c:pt idx="5">
                  <c:v>321.99999999999994</c:v>
                </c:pt>
                <c:pt idx="6">
                  <c:v>1014.3333333333333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73696"/>
        <c:axId val="156575232"/>
      </c:barChart>
      <c:catAx>
        <c:axId val="15657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575232"/>
        <c:crosses val="autoZero"/>
        <c:auto val="1"/>
        <c:lblAlgn val="ctr"/>
        <c:lblOffset val="100"/>
        <c:noMultiLvlLbl val="0"/>
      </c:catAx>
      <c:valAx>
        <c:axId val="15657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65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91</c:v>
                </c:pt>
                <c:pt idx="1">
                  <c:v>14.333333333333332</c:v>
                </c:pt>
                <c:pt idx="2">
                  <c:v>14.666666666666668</c:v>
                </c:pt>
                <c:pt idx="3">
                  <c:v>75.666666666666671</c:v>
                </c:pt>
                <c:pt idx="4">
                  <c:v>3.3333333333333335</c:v>
                </c:pt>
                <c:pt idx="5">
                  <c:v>4</c:v>
                </c:pt>
                <c:pt idx="6">
                  <c:v>47</c:v>
                </c:pt>
                <c:pt idx="7">
                  <c:v>2</c:v>
                </c:pt>
                <c:pt idx="8">
                  <c:v>2.3333333333333335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20.666666666666671</c:v>
                </c:pt>
                <c:pt idx="1">
                  <c:v>13.666666666666668</c:v>
                </c:pt>
                <c:pt idx="2">
                  <c:v>13.333333333333332</c:v>
                </c:pt>
                <c:pt idx="3">
                  <c:v>63.333333333333329</c:v>
                </c:pt>
                <c:pt idx="4">
                  <c:v>4.6666666666666661</c:v>
                </c:pt>
                <c:pt idx="5">
                  <c:v>1.666666666666667</c:v>
                </c:pt>
                <c:pt idx="6">
                  <c:v>2.6666666666666643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80672"/>
        <c:axId val="151582208"/>
      </c:barChart>
      <c:catAx>
        <c:axId val="15158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582208"/>
        <c:crosses val="autoZero"/>
        <c:auto val="1"/>
        <c:lblAlgn val="ctr"/>
        <c:lblOffset val="100"/>
        <c:noMultiLvlLbl val="0"/>
      </c:catAx>
      <c:valAx>
        <c:axId val="15158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15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102468634.33333333</c:v>
                </c:pt>
                <c:pt idx="1">
                  <c:v>100940816.33333333</c:v>
                </c:pt>
                <c:pt idx="2">
                  <c:v>95022191</c:v>
                </c:pt>
                <c:pt idx="3">
                  <c:v>93002715.333333328</c:v>
                </c:pt>
                <c:pt idx="4">
                  <c:v>98537783</c:v>
                </c:pt>
                <c:pt idx="5">
                  <c:v>87103346.666666672</c:v>
                </c:pt>
                <c:pt idx="6">
                  <c:v>46953567.333333336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7904"/>
        <c:axId val="156589440"/>
      </c:barChart>
      <c:catAx>
        <c:axId val="15658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589440"/>
        <c:crosses val="autoZero"/>
        <c:auto val="1"/>
        <c:lblAlgn val="ctr"/>
        <c:lblOffset val="100"/>
        <c:noMultiLvlLbl val="0"/>
      </c:catAx>
      <c:valAx>
        <c:axId val="15658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65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82676.666666666672</c:v>
                </c:pt>
                <c:pt idx="1">
                  <c:v>13845.333333333334</c:v>
                </c:pt>
                <c:pt idx="2">
                  <c:v>13590.666666666666</c:v>
                </c:pt>
                <c:pt idx="3">
                  <c:v>7081.333333333333</c:v>
                </c:pt>
                <c:pt idx="4">
                  <c:v>3417.6666666666665</c:v>
                </c:pt>
                <c:pt idx="5">
                  <c:v>3368.6666666666665</c:v>
                </c:pt>
                <c:pt idx="6">
                  <c:v>4093.9999999999995</c:v>
                </c:pt>
                <c:pt idx="7">
                  <c:v>3937.3333333333335</c:v>
                </c:pt>
                <c:pt idx="8">
                  <c:v>1355.6666666666667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113452.33333333333</c:v>
                </c:pt>
                <c:pt idx="1">
                  <c:v>19373.666666666664</c:v>
                </c:pt>
                <c:pt idx="2">
                  <c:v>18592.666666666664</c:v>
                </c:pt>
                <c:pt idx="3">
                  <c:v>19123.666666666668</c:v>
                </c:pt>
                <c:pt idx="4">
                  <c:v>2526.6666666666665</c:v>
                </c:pt>
                <c:pt idx="5">
                  <c:v>2237.0000000000005</c:v>
                </c:pt>
                <c:pt idx="6">
                  <c:v>10573.999999999998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07552"/>
        <c:axId val="155407104"/>
      </c:barChart>
      <c:catAx>
        <c:axId val="15720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407104"/>
        <c:crosses val="autoZero"/>
        <c:auto val="1"/>
        <c:lblAlgn val="ctr"/>
        <c:lblOffset val="100"/>
        <c:noMultiLvlLbl val="0"/>
      </c:catAx>
      <c:valAx>
        <c:axId val="1554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1039440938.3333334</c:v>
                </c:pt>
                <c:pt idx="1">
                  <c:v>1024742877</c:v>
                </c:pt>
                <c:pt idx="2">
                  <c:v>965555635.33333337</c:v>
                </c:pt>
                <c:pt idx="3">
                  <c:v>940324284</c:v>
                </c:pt>
                <c:pt idx="4">
                  <c:v>995649405.33333337</c:v>
                </c:pt>
                <c:pt idx="5">
                  <c:v>881330602.33333337</c:v>
                </c:pt>
                <c:pt idx="6">
                  <c:v>479746767.66666669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36160"/>
        <c:axId val="155437696"/>
      </c:barChart>
      <c:catAx>
        <c:axId val="15543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437696"/>
        <c:crosses val="autoZero"/>
        <c:auto val="1"/>
        <c:lblAlgn val="ctr"/>
        <c:lblOffset val="100"/>
        <c:noMultiLvlLbl val="0"/>
      </c:catAx>
      <c:valAx>
        <c:axId val="15543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54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828250</c:v>
                </c:pt>
                <c:pt idx="1">
                  <c:v>141102.33333333334</c:v>
                </c:pt>
                <c:pt idx="2">
                  <c:v>139427.66666666669</c:v>
                </c:pt>
                <c:pt idx="3">
                  <c:v>67727</c:v>
                </c:pt>
                <c:pt idx="4">
                  <c:v>34689.333333333336</c:v>
                </c:pt>
                <c:pt idx="5">
                  <c:v>34225.333333333336</c:v>
                </c:pt>
                <c:pt idx="6">
                  <c:v>39264.333333333336</c:v>
                </c:pt>
                <c:pt idx="7">
                  <c:v>40190.666666666664</c:v>
                </c:pt>
                <c:pt idx="8">
                  <c:v>12746.333333333334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1126221.6666666665</c:v>
                </c:pt>
                <c:pt idx="1">
                  <c:v>206891.99999999997</c:v>
                </c:pt>
                <c:pt idx="2">
                  <c:v>189385.99999999994</c:v>
                </c:pt>
                <c:pt idx="3">
                  <c:v>187946</c:v>
                </c:pt>
                <c:pt idx="4">
                  <c:v>23408.666666666664</c:v>
                </c:pt>
                <c:pt idx="5">
                  <c:v>21572</c:v>
                </c:pt>
                <c:pt idx="6">
                  <c:v>107963.33333333334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36480"/>
        <c:axId val="157638016"/>
      </c:barChart>
      <c:catAx>
        <c:axId val="15763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38016"/>
        <c:crosses val="autoZero"/>
        <c:auto val="1"/>
        <c:lblAlgn val="ctr"/>
        <c:lblOffset val="100"/>
        <c:noMultiLvlLbl val="0"/>
      </c:catAx>
      <c:valAx>
        <c:axId val="15763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6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10553345412.666666</c:v>
                </c:pt>
                <c:pt idx="1">
                  <c:v>10400554421.333334</c:v>
                </c:pt>
                <c:pt idx="2">
                  <c:v>9808672205.333334</c:v>
                </c:pt>
                <c:pt idx="3">
                  <c:v>9506224120</c:v>
                </c:pt>
                <c:pt idx="4">
                  <c:v>10059776102</c:v>
                </c:pt>
                <c:pt idx="5">
                  <c:v>8916332032.333334</c:v>
                </c:pt>
                <c:pt idx="6">
                  <c:v>4898891799.333333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67328"/>
        <c:axId val="157668864"/>
      </c:barChart>
      <c:catAx>
        <c:axId val="15766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668864"/>
        <c:crosses val="autoZero"/>
        <c:auto val="1"/>
        <c:lblAlgn val="ctr"/>
        <c:lblOffset val="100"/>
        <c:noMultiLvlLbl val="0"/>
      </c:catAx>
      <c:valAx>
        <c:axId val="15766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6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1216.6666666666665</c:v>
                </c:pt>
                <c:pt idx="1">
                  <c:v>634.33333333333337</c:v>
                </c:pt>
                <c:pt idx="2">
                  <c:v>618</c:v>
                </c:pt>
                <c:pt idx="3">
                  <c:v>795.33333333333337</c:v>
                </c:pt>
                <c:pt idx="4">
                  <c:v>445.66666666666669</c:v>
                </c:pt>
                <c:pt idx="5">
                  <c:v>425.33333333333331</c:v>
                </c:pt>
                <c:pt idx="6">
                  <c:v>289</c:v>
                </c:pt>
                <c:pt idx="7">
                  <c:v>216.66666666666666</c:v>
                </c:pt>
                <c:pt idx="8">
                  <c:v>230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2152.3333333333335</c:v>
                </c:pt>
                <c:pt idx="1">
                  <c:v>2126</c:v>
                </c:pt>
                <c:pt idx="2">
                  <c:v>1868.3333333333335</c:v>
                </c:pt>
                <c:pt idx="3">
                  <c:v>1171.6666666666665</c:v>
                </c:pt>
                <c:pt idx="4">
                  <c:v>164.33333333333331</c:v>
                </c:pt>
                <c:pt idx="5">
                  <c:v>164.66666666666669</c:v>
                </c:pt>
                <c:pt idx="6">
                  <c:v>489.66666666666674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93248"/>
        <c:axId val="156694784"/>
      </c:barChart>
      <c:catAx>
        <c:axId val="15669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694784"/>
        <c:crosses val="autoZero"/>
        <c:auto val="1"/>
        <c:lblAlgn val="ctr"/>
        <c:lblOffset val="100"/>
        <c:noMultiLvlLbl val="0"/>
      </c:catAx>
      <c:valAx>
        <c:axId val="15669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66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53635417.333333336</c:v>
                </c:pt>
                <c:pt idx="1">
                  <c:v>53391170</c:v>
                </c:pt>
                <c:pt idx="2">
                  <c:v>49693278.333333336</c:v>
                </c:pt>
                <c:pt idx="3">
                  <c:v>48374616</c:v>
                </c:pt>
                <c:pt idx="4">
                  <c:v>51851336</c:v>
                </c:pt>
                <c:pt idx="5">
                  <c:v>48317162</c:v>
                </c:pt>
                <c:pt idx="6">
                  <c:v>23146375.333333332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15648"/>
        <c:axId val="156721536"/>
      </c:barChart>
      <c:catAx>
        <c:axId val="15671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721536"/>
        <c:crosses val="autoZero"/>
        <c:auto val="1"/>
        <c:lblAlgn val="ctr"/>
        <c:lblOffset val="100"/>
        <c:noMultiLvlLbl val="0"/>
      </c:catAx>
      <c:valAx>
        <c:axId val="15672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67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120831.33333333334</c:v>
                </c:pt>
                <c:pt idx="1">
                  <c:v>156337.66666666666</c:v>
                </c:pt>
                <c:pt idx="2">
                  <c:v>155048.66666666666</c:v>
                </c:pt>
                <c:pt idx="3">
                  <c:v>40371</c:v>
                </c:pt>
                <c:pt idx="4">
                  <c:v>36700.666666666664</c:v>
                </c:pt>
                <c:pt idx="5">
                  <c:v>36455.666666666664</c:v>
                </c:pt>
                <c:pt idx="6">
                  <c:v>30550.333333333336</c:v>
                </c:pt>
                <c:pt idx="7">
                  <c:v>25935</c:v>
                </c:pt>
                <c:pt idx="8">
                  <c:v>7529.333333333333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211271.33333333334</c:v>
                </c:pt>
                <c:pt idx="1">
                  <c:v>203620.33333333334</c:v>
                </c:pt>
                <c:pt idx="2">
                  <c:v>199731.00000000003</c:v>
                </c:pt>
                <c:pt idx="3">
                  <c:v>73736.333333333328</c:v>
                </c:pt>
                <c:pt idx="4">
                  <c:v>12743.666666666672</c:v>
                </c:pt>
                <c:pt idx="5">
                  <c:v>12585.666666666672</c:v>
                </c:pt>
                <c:pt idx="6">
                  <c:v>96871.333333333314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45504"/>
        <c:axId val="157475968"/>
      </c:barChart>
      <c:catAx>
        <c:axId val="15744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475968"/>
        <c:crosses val="autoZero"/>
        <c:auto val="1"/>
        <c:lblAlgn val="ctr"/>
        <c:lblOffset val="100"/>
        <c:noMultiLvlLbl val="0"/>
      </c:catAx>
      <c:valAx>
        <c:axId val="15747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74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9819175875.333334</c:v>
                </c:pt>
                <c:pt idx="1">
                  <c:v>9799347353.333334</c:v>
                </c:pt>
                <c:pt idx="2">
                  <c:v>9512404869.333334</c:v>
                </c:pt>
                <c:pt idx="3">
                  <c:v>9408942917.666666</c:v>
                </c:pt>
                <c:pt idx="4">
                  <c:v>9695874192</c:v>
                </c:pt>
                <c:pt idx="5">
                  <c:v>9403430120</c:v>
                </c:pt>
                <c:pt idx="6">
                  <c:v>7495744653.333333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01632"/>
        <c:axId val="157703168"/>
      </c:barChart>
      <c:catAx>
        <c:axId val="15770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7703168"/>
        <c:crosses val="autoZero"/>
        <c:auto val="1"/>
        <c:lblAlgn val="ctr"/>
        <c:lblOffset val="100"/>
        <c:noMultiLvlLbl val="0"/>
      </c:catAx>
      <c:valAx>
        <c:axId val="15770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111.33333333333333</c:v>
                </c:pt>
                <c:pt idx="1">
                  <c:v>140.66666666666666</c:v>
                </c:pt>
                <c:pt idx="2">
                  <c:v>75</c:v>
                </c:pt>
                <c:pt idx="3">
                  <c:v>73</c:v>
                </c:pt>
                <c:pt idx="4">
                  <c:v>140</c:v>
                </c:pt>
                <c:pt idx="5">
                  <c:v>53</c:v>
                </c:pt>
                <c:pt idx="6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11264"/>
        <c:axId val="151612800"/>
      </c:barChart>
      <c:catAx>
        <c:axId val="15161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612800"/>
        <c:crosses val="autoZero"/>
        <c:auto val="1"/>
        <c:lblAlgn val="ctr"/>
        <c:lblOffset val="100"/>
        <c:noMultiLvlLbl val="0"/>
      </c:catAx>
      <c:valAx>
        <c:axId val="1516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16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222.66666666666666</c:v>
                </c:pt>
                <c:pt idx="1">
                  <c:v>79</c:v>
                </c:pt>
                <c:pt idx="2">
                  <c:v>80.666666666666671</c:v>
                </c:pt>
                <c:pt idx="3">
                  <c:v>223</c:v>
                </c:pt>
                <c:pt idx="4">
                  <c:v>58.666666666666664</c:v>
                </c:pt>
                <c:pt idx="5">
                  <c:v>58.333333333333336</c:v>
                </c:pt>
                <c:pt idx="6">
                  <c:v>76</c:v>
                </c:pt>
                <c:pt idx="7">
                  <c:v>13</c:v>
                </c:pt>
                <c:pt idx="8">
                  <c:v>29.666666666666668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525.66666666666674</c:v>
                </c:pt>
                <c:pt idx="1">
                  <c:v>118.33333333333334</c:v>
                </c:pt>
                <c:pt idx="2">
                  <c:v>111.33333333333333</c:v>
                </c:pt>
                <c:pt idx="3">
                  <c:v>192.33333333333331</c:v>
                </c:pt>
                <c:pt idx="4">
                  <c:v>56.666666666666664</c:v>
                </c:pt>
                <c:pt idx="5">
                  <c:v>57.666666666666664</c:v>
                </c:pt>
                <c:pt idx="6">
                  <c:v>100.33333333333334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07648"/>
        <c:axId val="152113536"/>
      </c:barChart>
      <c:catAx>
        <c:axId val="15210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113536"/>
        <c:crosses val="autoZero"/>
        <c:auto val="1"/>
        <c:lblAlgn val="ctr"/>
        <c:lblOffset val="100"/>
        <c:noMultiLvlLbl val="0"/>
      </c:catAx>
      <c:valAx>
        <c:axId val="15211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1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4777768</c:v>
                </c:pt>
                <c:pt idx="1">
                  <c:v>4777780</c:v>
                </c:pt>
                <c:pt idx="2">
                  <c:v>4777768</c:v>
                </c:pt>
                <c:pt idx="3">
                  <c:v>4777780</c:v>
                </c:pt>
                <c:pt idx="4">
                  <c:v>4777780</c:v>
                </c:pt>
                <c:pt idx="5">
                  <c:v>4777768</c:v>
                </c:pt>
                <c:pt idx="6">
                  <c:v>2372376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0688"/>
        <c:axId val="152132224"/>
      </c:barChart>
      <c:catAx>
        <c:axId val="15213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132224"/>
        <c:crosses val="autoZero"/>
        <c:auto val="1"/>
        <c:lblAlgn val="ctr"/>
        <c:lblOffset val="100"/>
        <c:noMultiLvlLbl val="0"/>
      </c:catAx>
      <c:valAx>
        <c:axId val="15213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21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1540.3333333333335</c:v>
                </c:pt>
                <c:pt idx="1">
                  <c:v>802.33333333333326</c:v>
                </c:pt>
                <c:pt idx="2">
                  <c:v>791.66666666666663</c:v>
                </c:pt>
                <c:pt idx="3">
                  <c:v>522.33333333333337</c:v>
                </c:pt>
                <c:pt idx="4">
                  <c:v>213</c:v>
                </c:pt>
                <c:pt idx="5">
                  <c:v>215.33333333333334</c:v>
                </c:pt>
                <c:pt idx="6">
                  <c:v>433.00000000000006</c:v>
                </c:pt>
                <c:pt idx="7">
                  <c:v>124.33333333333333</c:v>
                </c:pt>
                <c:pt idx="8">
                  <c:v>80.333333333333329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5144.6666666666661</c:v>
                </c:pt>
                <c:pt idx="1">
                  <c:v>1071.6666666666667</c:v>
                </c:pt>
                <c:pt idx="2">
                  <c:v>1054</c:v>
                </c:pt>
                <c:pt idx="3">
                  <c:v>560.33333333333337</c:v>
                </c:pt>
                <c:pt idx="4">
                  <c:v>179.66666666666669</c:v>
                </c:pt>
                <c:pt idx="5">
                  <c:v>176.66666666666666</c:v>
                </c:pt>
                <c:pt idx="6">
                  <c:v>1053.3333333333335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27680"/>
        <c:axId val="152329216"/>
      </c:barChart>
      <c:catAx>
        <c:axId val="15232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329216"/>
        <c:crosses val="autoZero"/>
        <c:auto val="1"/>
        <c:lblAlgn val="ctr"/>
        <c:lblOffset val="100"/>
        <c:noMultiLvlLbl val="0"/>
      </c:catAx>
      <c:valAx>
        <c:axId val="15232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23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49777768</c:v>
                </c:pt>
                <c:pt idx="1">
                  <c:v>49777780</c:v>
                </c:pt>
                <c:pt idx="2">
                  <c:v>49777768</c:v>
                </c:pt>
                <c:pt idx="3">
                  <c:v>49777780</c:v>
                </c:pt>
                <c:pt idx="4">
                  <c:v>49777780</c:v>
                </c:pt>
                <c:pt idx="5">
                  <c:v>49777768</c:v>
                </c:pt>
                <c:pt idx="6">
                  <c:v>24872376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0176"/>
        <c:axId val="152961792"/>
      </c:barChart>
      <c:catAx>
        <c:axId val="15237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961792"/>
        <c:crosses val="autoZero"/>
        <c:auto val="1"/>
        <c:lblAlgn val="ctr"/>
        <c:lblOffset val="100"/>
        <c:noMultiLvlLbl val="0"/>
      </c:catAx>
      <c:valAx>
        <c:axId val="15296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23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14630.333333333332</c:v>
                </c:pt>
                <c:pt idx="1">
                  <c:v>8416.6666666666661</c:v>
                </c:pt>
                <c:pt idx="2">
                  <c:v>8378</c:v>
                </c:pt>
                <c:pt idx="3">
                  <c:v>3377.3333333333335</c:v>
                </c:pt>
                <c:pt idx="4">
                  <c:v>1642.3333333333333</c:v>
                </c:pt>
                <c:pt idx="5">
                  <c:v>1611.6666666666667</c:v>
                </c:pt>
                <c:pt idx="6">
                  <c:v>4296</c:v>
                </c:pt>
                <c:pt idx="7">
                  <c:v>1275.3333333333333</c:v>
                </c:pt>
                <c:pt idx="8">
                  <c:v>455.33333333333331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52004.666666666672</c:v>
                </c:pt>
                <c:pt idx="1">
                  <c:v>10930.66666666667</c:v>
                </c:pt>
                <c:pt idx="2">
                  <c:v>10588</c:v>
                </c:pt>
                <c:pt idx="3">
                  <c:v>3510.9999999999995</c:v>
                </c:pt>
                <c:pt idx="4">
                  <c:v>1443.3333333333333</c:v>
                </c:pt>
                <c:pt idx="5">
                  <c:v>1481.3333333333333</c:v>
                </c:pt>
                <c:pt idx="6">
                  <c:v>10110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48448"/>
        <c:axId val="153449984"/>
      </c:barChart>
      <c:catAx>
        <c:axId val="15344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449984"/>
        <c:crosses val="autoZero"/>
        <c:auto val="1"/>
        <c:lblAlgn val="ctr"/>
        <c:lblOffset val="100"/>
        <c:noMultiLvlLbl val="0"/>
      </c:catAx>
      <c:valAx>
        <c:axId val="1534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534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271">
      <calculatedColumnFormula>AverageNumbers[](Table15[Newtonsoft (duration)])</calculatedColumnFormula>
    </tableColumn>
    <tableColumn id="3" name="Revenj.Net full" dataDxfId="270"/>
    <tableColumn id="4" name="Revenj.Net minimal" dataDxfId="269"/>
    <tableColumn id="8" name="Jackson" dataDxfId="268"/>
    <tableColumn id="7" name="DSL client Java full" dataDxfId="267"/>
    <tableColumn id="5" name="DSL client Java minimal" dataDxfId="266"/>
    <tableColumn id="6" name="Protobuf.NET" dataDxfId="265"/>
    <tableColumn id="9" name=".NET (instance only)" dataDxfId="264">
      <calculatedColumnFormula>AVERAGE(Table16[.NET (instance only)])</calculatedColumnFormula>
    </tableColumn>
    <tableColumn id="10" name="JVM (instance only)" dataDxfId="263">
      <calculatedColumnFormula>AVERAGE(Table16[JVM (instance only)])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262">
      <calculatedColumnFormula>AverageNumbers[](Table15[Newtonsoft (duration)])</calculatedColumnFormula>
    </tableColumn>
    <tableColumn id="3" name="Revenj.Net full" dataDxfId="261"/>
    <tableColumn id="4" name="Revenj.Net minimal" dataDxfId="260"/>
    <tableColumn id="5" name="Jackson" dataDxfId="259"/>
    <tableColumn id="6" name="DSL client Java full" dataDxfId="258"/>
    <tableColumn id="7" name="DSL client Java minimal" dataDxfId="257"/>
    <tableColumn id="8" name="Protobuf.NET" dataDxfId="2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16" displayName="Table16" ref="B57:J60">
  <autoFilter ref="B57:J60"/>
  <tableColumns count="9">
    <tableColumn id="2" name="Newtonsoft (duration)" totalsRowFunction="custom">
      <totalsRowFormula>AverageNumbers[](Table16[Newtonsoft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AverageNumbers[](Table16[Jackson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AverageNumbers[](Table16[Protobuf.NET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54">
  <autoFilter ref="B51:O54"/>
  <tableColumns count="14">
    <tableColumn id="2" name="Newtonsoft (duration)" totalsRowFunction="custom">
      <totalsRowFormula>AverageNumbers[](Table19[Newtonsoft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AverageNumbers[](Table19[Revenj.NET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AverageNumbers[](Table19[Jackson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AverageNumbers[](Table19[DSL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AverageNumbers[](Table19[Protobuf.NET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255">
      <calculatedColumnFormula>AverageNumbers[](Table19[Newtonsoft (duration)])</calculatedColumnFormula>
    </tableColumn>
    <tableColumn id="3" name="Revenj.Net full" dataDxfId="254"/>
    <tableColumn id="4" name="Revenj.Net minimal" dataDxfId="253"/>
    <tableColumn id="8" name="Jackson" dataDxfId="252"/>
    <tableColumn id="7" name="DSL client Java full" dataDxfId="251"/>
    <tableColumn id="5" name="DSL client Java minimal" dataDxfId="250"/>
    <tableColumn id="6" name="Protobuf.NET" dataDxfId="249"/>
    <tableColumn id="9" name=".NET (instance only)" dataDxfId="248">
      <calculatedColumnFormula>AVERAGE(Table20[.NET (instance only)])</calculatedColumnFormula>
    </tableColumn>
    <tableColumn id="10" name="JVM (instance only)" dataDxfId="247">
      <calculatedColumnFormula>AVERAGE(Table20[JVM (instance only)])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246">
      <calculatedColumnFormula>AverageNumbers[](Table19[Newtonsoft (duration)])</calculatedColumnFormula>
    </tableColumn>
    <tableColumn id="3" name="Revenj.Net full" dataDxfId="245"/>
    <tableColumn id="4" name="Revenj.Net minimal" dataDxfId="244"/>
    <tableColumn id="5" name="Jackson" dataDxfId="243"/>
    <tableColumn id="6" name="DSL client Java full" dataDxfId="242"/>
    <tableColumn id="7" name="DSL client Java minimal" dataDxfId="241"/>
    <tableColumn id="8" name="Protobuf.NET" dataDxfId="2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20" displayName="Table20" ref="B57:J60">
  <autoFilter ref="B57:J60"/>
  <tableColumns count="9">
    <tableColumn id="2" name="Newtonsoft (duration)" totalsRowFunction="custom">
      <totalsRowFormula>AverageNumbers[](Table20[Newtonsoft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AverageNumbers[](Table20[Jackson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AverageNumbers[](Table20[Protobuf.NET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54">
  <autoFilter ref="B51:O54"/>
  <tableColumns count="14">
    <tableColumn id="2" name="Newtonsoft (duration)" totalsRowFunction="custom">
      <totalsRowFormula>AverageNumbers[](Table23[Newtonsoft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AverageNumbers[](Table23[Revenj.NET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AverageNumbers[](Table23[Jackson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AverageNumbers[](Table23[DSL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AverageNumbers[](Table23[Protobuf.NET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239">
      <calculatedColumnFormula>AverageNumbers[](Table23[Newtonsoft (duration)])</calculatedColumnFormula>
    </tableColumn>
    <tableColumn id="3" name="Revenj.Net full" dataDxfId="238"/>
    <tableColumn id="4" name="Revenj.Net minimal" dataDxfId="237"/>
    <tableColumn id="8" name="Jackson" dataDxfId="236"/>
    <tableColumn id="7" name="DSL client Java full" dataDxfId="235"/>
    <tableColumn id="5" name="DSL client Java minimal" dataDxfId="234"/>
    <tableColumn id="6" name="Protobuf.NET" dataDxfId="233"/>
    <tableColumn id="9" name=".NET (instance only)" dataDxfId="232">
      <calculatedColumnFormula>AVERAGE(Table24[.NET (instance only)])</calculatedColumnFormula>
    </tableColumn>
    <tableColumn id="10" name="JVM (instance only)" dataDxfId="231">
      <calculatedColumnFormula>AVERAGE(Table24[JVM (instance only)])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230">
      <calculatedColumnFormula>AverageNumbers[](Table23[Newtonsoft (duration)])</calculatedColumnFormula>
    </tableColumn>
    <tableColumn id="3" name="Revenj.Net full" dataDxfId="229"/>
    <tableColumn id="4" name="Revenj.Net minimal" dataDxfId="228"/>
    <tableColumn id="5" name="Jackson" dataDxfId="227"/>
    <tableColumn id="6" name="DSL client Java full" dataDxfId="226"/>
    <tableColumn id="7" name="DSL client Java minimal" dataDxfId="225"/>
    <tableColumn id="8" name="Protobuf.NET" dataDxfId="2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303">
      <calculatedColumnFormula>AverageNumbers[](Serialization[Newtonsoft (duration)])</calculatedColumnFormula>
    </tableColumn>
    <tableColumn id="3" name="Revenj.Net full" dataDxfId="302"/>
    <tableColumn id="4" name="Revenj.Net minimal" dataDxfId="301"/>
    <tableColumn id="8" name="Jackson" dataDxfId="300"/>
    <tableColumn id="7" name="DSL client Java full" dataDxfId="299"/>
    <tableColumn id="5" name="DSL client Java minimal" dataDxfId="298"/>
    <tableColumn id="6" name="Protobuf.NET" dataDxfId="297"/>
    <tableColumn id="9" name=".NET (instance only)" dataDxfId="296">
      <calculatedColumnFormula>AVERAGE(Both[.NET (instance only)])</calculatedColumnFormula>
    </tableColumn>
    <tableColumn id="10" name="JVM (instance only)" dataDxfId="295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24" displayName="Table24" ref="B57:J60">
  <autoFilter ref="B57:J60"/>
  <tableColumns count="9">
    <tableColumn id="2" name="Newtonsoft (duration)" totalsRowFunction="custom">
      <totalsRowFormula>AverageNumbers[](Table24[Newtonsoft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AverageNumbers[](Table24[Jackson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AverageNumbers[](Table24[Protobuf.NET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54">
  <autoFilter ref="B51:O54"/>
  <tableColumns count="14">
    <tableColumn id="2" name="Newtonsoft (duration)" totalsRowFunction="custom">
      <totalsRowFormula>AverageNumbers[](Table27[Newtonsoft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AverageNumbers[](Table27[Revenj.NET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AverageNumbers[](Table27[Jackson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AverageNumbers[](Table27[DSL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AverageNumbers[](Table27[Protobuf.NET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223">
      <calculatedColumnFormula>AverageNumbers[](Table27[Newtonsoft (duration)])</calculatedColumnFormula>
    </tableColumn>
    <tableColumn id="3" name="Revenj.Net full" dataDxfId="222"/>
    <tableColumn id="4" name="Revenj.Net minimal" dataDxfId="221"/>
    <tableColumn id="8" name="Jackson" dataDxfId="220"/>
    <tableColumn id="7" name="DSL client Java full" dataDxfId="219"/>
    <tableColumn id="5" name="DSL client Java minimal" dataDxfId="218"/>
    <tableColumn id="6" name="Protobuf.NET" dataDxfId="217"/>
    <tableColumn id="9" name=".NET (instance only)" dataDxfId="216">
      <calculatedColumnFormula>AVERAGE(Table28[.NET (instance only)])</calculatedColumnFormula>
    </tableColumn>
    <tableColumn id="10" name="JVM (instance only)" dataDxfId="215">
      <calculatedColumnFormula>AVERAGE(Table28[JVM (instance only)])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214">
      <calculatedColumnFormula>AverageNumbers[](Table27[Newtonsoft (duration)])</calculatedColumnFormula>
    </tableColumn>
    <tableColumn id="3" name="Revenj.Net full" dataDxfId="213"/>
    <tableColumn id="4" name="Revenj.Net minimal" dataDxfId="212"/>
    <tableColumn id="5" name="Jackson" dataDxfId="211"/>
    <tableColumn id="6" name="DSL client Java full" dataDxfId="210"/>
    <tableColumn id="7" name="DSL client Java minimal" dataDxfId="209"/>
    <tableColumn id="8" name="Protobuf.NET" dataDxfId="20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8" name="Table28" displayName="Table28" ref="B57:J60">
  <autoFilter ref="B57:J60"/>
  <tableColumns count="9">
    <tableColumn id="2" name="Newtonsoft (duration)" totalsRowFunction="custom">
      <totalsRowFormula>AverageNumbers[](Table28[Newtonsoft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AverageNumbers[](Table28[Jackson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AverageNumbers[](Table28[Protobuf.NET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54">
  <autoFilter ref="B51:O54"/>
  <tableColumns count="14">
    <tableColumn id="2" name="Newtonsoft (duration)" totalsRowFunction="custom">
      <totalsRowFormula>AverageNumbers[](Table31[Newtonsoft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AverageNumbers[](Table31[Revenj.NET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AverageNumbers[](Table31[Jackson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AverageNumbers[](Table31[DSL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AverageNumbers[](Table31[Protobuf.NET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207">
      <calculatedColumnFormula>AverageNumbers[](Table31[Newtonsoft (duration)])</calculatedColumnFormula>
    </tableColumn>
    <tableColumn id="3" name="Revenj.Net full" dataDxfId="206"/>
    <tableColumn id="4" name="Revenj.Net minimal" dataDxfId="205"/>
    <tableColumn id="8" name="Jackson" dataDxfId="204"/>
    <tableColumn id="7" name="DSL client Java full" dataDxfId="203"/>
    <tableColumn id="5" name="DSL client Java minimal" dataDxfId="202"/>
    <tableColumn id="6" name="Protobuf.NET" dataDxfId="201"/>
    <tableColumn id="9" name=".NET (instance only)" dataDxfId="200">
      <calculatedColumnFormula>AVERAGE(Table32[.NET (instance only)])</calculatedColumnFormula>
    </tableColumn>
    <tableColumn id="10" name="JVM (instance only)" dataDxfId="199">
      <calculatedColumnFormula>AVERAGE(Table32[JVM (instance only)])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198">
      <calculatedColumnFormula>AverageNumbers[](Table31[Newtonsoft (duration)])</calculatedColumnFormula>
    </tableColumn>
    <tableColumn id="3" name="Revenj.Net full" dataDxfId="197"/>
    <tableColumn id="4" name="Revenj.Net minimal" dataDxfId="196"/>
    <tableColumn id="5" name="Jackson" dataDxfId="195"/>
    <tableColumn id="6" name="DSL client Java full" dataDxfId="194"/>
    <tableColumn id="7" name="DSL client Java minimal" dataDxfId="193"/>
    <tableColumn id="8" name="Protobuf.NET" dataDxfId="19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2" name="Table32" displayName="Table32" ref="B57:J60">
  <autoFilter ref="B57:J60"/>
  <tableColumns count="9">
    <tableColumn id="2" name="Newtonsoft (duration)" totalsRowFunction="custom">
      <totalsRowFormula>AverageNumbers[](Table32[Newtonsoft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AverageNumbers[](Table32[Jackson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AverageNumbers[](Table32[Protobuf.NET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54">
  <autoFilter ref="B51:O54"/>
  <tableColumns count="14">
    <tableColumn id="2" name="Newtonsoft (duration)" totalsRowFunction="custom">
      <totalsRowFormula>AverageNumbers[](Table35[Newtonsoft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AverageNumbers[](Table35[Revenj.NET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AverageNumbers[](Table35[Jackson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AverageNumbers[](Table35[DSL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AverageNumbers[](Table35[Protobuf.NET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294">
      <calculatedColumnFormula>AverageNumbers[](Serialization[Newtonsoft (duration)])</calculatedColumnFormula>
    </tableColumn>
    <tableColumn id="3" name="Revenj.Net full" dataDxfId="293"/>
    <tableColumn id="4" name="Revenj.Net minimal" dataDxfId="292"/>
    <tableColumn id="5" name="Jackson" dataDxfId="291"/>
    <tableColumn id="6" name="DSL client Java full" dataDxfId="290"/>
    <tableColumn id="7" name="DSL client Java minimal" dataDxfId="289"/>
    <tableColumn id="8" name="Protobuf.NET" dataDxfId="28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91">
      <calculatedColumnFormula>AverageNumbers[](Table35[Newtonsoft (duration)])</calculatedColumnFormula>
    </tableColumn>
    <tableColumn id="3" name="Revenj.Net full" dataDxfId="190"/>
    <tableColumn id="4" name="Revenj.Net minimal" dataDxfId="189"/>
    <tableColumn id="8" name="Jackson" dataDxfId="188"/>
    <tableColumn id="7" name="DSL client Java full" dataDxfId="187"/>
    <tableColumn id="5" name="DSL client Java minimal" dataDxfId="186"/>
    <tableColumn id="6" name="Protobuf.NET" dataDxfId="185"/>
    <tableColumn id="9" name=".NET (instance only)" dataDxfId="184">
      <calculatedColumnFormula>AVERAGE(Table36[.NET (instance only)])</calculatedColumnFormula>
    </tableColumn>
    <tableColumn id="10" name="JVM (instance only)" dataDxfId="183">
      <calculatedColumnFormula>AVERAGE(Table36[JVM (instance only)])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182">
      <calculatedColumnFormula>AverageNumbers[](Table35[Newtonsoft (duration)])</calculatedColumnFormula>
    </tableColumn>
    <tableColumn id="3" name="Revenj.Net full" dataDxfId="181"/>
    <tableColumn id="4" name="Revenj.Net minimal" dataDxfId="180"/>
    <tableColumn id="5" name="Jackson" dataDxfId="179"/>
    <tableColumn id="6" name="DSL client Java full" dataDxfId="178"/>
    <tableColumn id="7" name="DSL client Java minimal" dataDxfId="177"/>
    <tableColumn id="8" name="Protobuf.NET" dataDxfId="17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6" name="Table36" displayName="Table36" ref="B57:J60">
  <autoFilter ref="B57:J60"/>
  <tableColumns count="9">
    <tableColumn id="2" name="Newtonsoft (duration)" totalsRowFunction="custom">
      <totalsRowFormula>AverageNumbers[](Table36[Newtonsoft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AverageNumbers[](Table36[Jackson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AverageNumbers[](Table36[Protobuf.NET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54">
  <autoFilter ref="B51:O54"/>
  <tableColumns count="14">
    <tableColumn id="2" name="Newtonsoft (duration)" totalsRowFunction="custom">
      <totalsRowFormula>AverageNumbers[](Table39[Newtonsoft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AverageNumbers[](Table39[Revenj.NET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AverageNumbers[](Table39[Jackson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AverageNumbers[](Table39[DSL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AverageNumbers[](Table39[Protobuf.NET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75">
      <calculatedColumnFormula>AverageNumbers[](Table39[Newtonsoft (duration)])</calculatedColumnFormula>
    </tableColumn>
    <tableColumn id="3" name="Revenj.Net full" dataDxfId="174"/>
    <tableColumn id="4" name="Revenj.Net minimal" dataDxfId="173"/>
    <tableColumn id="8" name="Jackson" dataDxfId="172"/>
    <tableColumn id="7" name="DSL client Java full" dataDxfId="171"/>
    <tableColumn id="5" name="DSL client Java minimal" dataDxfId="170"/>
    <tableColumn id="6" name="Protobuf.NET" dataDxfId="169"/>
    <tableColumn id="9" name=".NET (instance only)" dataDxfId="168">
      <calculatedColumnFormula>AVERAGE(Table40[.NET (instance only)])</calculatedColumnFormula>
    </tableColumn>
    <tableColumn id="10" name="JVM (instance only)" dataDxfId="167">
      <calculatedColumnFormula>AVERAGE(Table40[JVM (instance only)])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166">
      <calculatedColumnFormula>AverageNumbers[](Table39[Newtonsoft (duration)])</calculatedColumnFormula>
    </tableColumn>
    <tableColumn id="3" name="Revenj.Net full" dataDxfId="165"/>
    <tableColumn id="4" name="Revenj.Net minimal" dataDxfId="164"/>
    <tableColumn id="5" name="Jackson" dataDxfId="163"/>
    <tableColumn id="6" name="DSL client Java full" dataDxfId="162"/>
    <tableColumn id="7" name="DSL client Java minimal" dataDxfId="161"/>
    <tableColumn id="8" name="Protobuf.NET" dataDxfId="16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0" name="Table40" displayName="Table40" ref="B57:J60">
  <autoFilter ref="B57:J60"/>
  <tableColumns count="9">
    <tableColumn id="2" name="Newtonsoft (duration)" totalsRowFunction="custom">
      <totalsRowFormula>AverageNumbers[](Table40[Newtonsoft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AverageNumbers[](Table40[Jackson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AverageNumbers[](Table40[Protobuf.NET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54">
  <autoFilter ref="B51:O54"/>
  <tableColumns count="14">
    <tableColumn id="2" name="Newtonsoft (duration)" totalsRowFunction="custom">
      <totalsRowFormula>AverageNumbers[](Table43[Newtonsoft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AverageNumbers[](Table43[Revenj.NET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AverageNumbers[](Table43[Jackson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AverageNumbers[](Table43[DSL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AverageNumbers[](Table43[Protobuf.NET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9">
      <calculatedColumnFormula>AverageNumbers[](Table43[Newtonsoft (duration)])</calculatedColumnFormula>
    </tableColumn>
    <tableColumn id="3" name="Revenj.Net full" dataDxfId="158"/>
    <tableColumn id="4" name="Revenj.Net minimal" dataDxfId="157"/>
    <tableColumn id="8" name="Jackson" dataDxfId="156"/>
    <tableColumn id="7" name="DSL client Java full" dataDxfId="155"/>
    <tableColumn id="5" name="DSL client Java minimal" dataDxfId="154"/>
    <tableColumn id="6" name="Protobuf.NET" dataDxfId="153"/>
    <tableColumn id="9" name=".NET (instance only)" dataDxfId="152">
      <calculatedColumnFormula>AVERAGE(Table44[.NET (instance only)])</calculatedColumnFormula>
    </tableColumn>
    <tableColumn id="10" name="JVM (instance only)" dataDxfId="151">
      <calculatedColumnFormula>AVERAGE(Table44[JVM (instance only)])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150">
      <calculatedColumnFormula>AverageNumbers[](Table43[Newtonsoft (duration)])</calculatedColumnFormula>
    </tableColumn>
    <tableColumn id="3" name="Revenj.Net full" dataDxfId="149"/>
    <tableColumn id="4" name="Revenj.Net minimal" dataDxfId="148"/>
    <tableColumn id="5" name="Jackson" dataDxfId="147"/>
    <tableColumn id="6" name="DSL client Java full" dataDxfId="146"/>
    <tableColumn id="7" name="DSL client Java minimal" dataDxfId="145"/>
    <tableColumn id="8" name="Protobuf.NET" dataDxfId="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4" name="Table44" displayName="Table44" ref="B57:J60">
  <autoFilter ref="B57:J60"/>
  <tableColumns count="9">
    <tableColumn id="2" name="Newtonsoft (duration)" totalsRowFunction="custom">
      <totalsRowFormula>AverageNumbers[](Table44[Newtonsoft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AverageNumbers[](Table44[Jackson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AverageNumbers[](Table44[Protobuf.NET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54">
  <autoFilter ref="B51:O54"/>
  <tableColumns count="14">
    <tableColumn id="2" name="Newtonsoft (duration)" totalsRowFunction="custom">
      <totalsRowFormula>AverageNumbers[](Table47[Newtonsoft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AverageNumbers[](Table47[Revenj.NET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AverageNumbers[](Table47[Jackson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AverageNumbers[](Table47[DSL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AverageNumbers[](Table47[Protobuf.NET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43">
      <calculatedColumnFormula>AverageNumbers[](Table47[Newtonsoft (duration)])</calculatedColumnFormula>
    </tableColumn>
    <tableColumn id="3" name="Revenj.Net full" dataDxfId="142"/>
    <tableColumn id="4" name="Revenj.Net minimal" dataDxfId="141"/>
    <tableColumn id="8" name="Jackson" dataDxfId="140"/>
    <tableColumn id="7" name="DSL client Java full" dataDxfId="139"/>
    <tableColumn id="5" name="DSL client Java minimal" dataDxfId="138"/>
    <tableColumn id="6" name="Protobuf.NET" dataDxfId="137"/>
    <tableColumn id="9" name=".NET (instance only)" dataDxfId="136">
      <calculatedColumnFormula>AVERAGE(Table48[.NET (instance only)])</calculatedColumnFormula>
    </tableColumn>
    <tableColumn id="10" name="JVM (instance only)" dataDxfId="135">
      <calculatedColumnFormula>AVERAGE(Table48[JVM (instance only)])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134">
      <calculatedColumnFormula>AverageNumbers[](Table47[Newtonsoft (duration)])</calculatedColumnFormula>
    </tableColumn>
    <tableColumn id="3" name="Revenj.Net full" dataDxfId="133"/>
    <tableColumn id="4" name="Revenj.Net minimal" dataDxfId="132"/>
    <tableColumn id="5" name="Jackson" dataDxfId="131"/>
    <tableColumn id="6" name="DSL client Java full" dataDxfId="130"/>
    <tableColumn id="7" name="DSL client Java minimal" dataDxfId="129"/>
    <tableColumn id="8" name="Protobuf.NET" dataDxfId="12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8" name="Table48" displayName="Table48" ref="B57:J60">
  <autoFilter ref="B57:J60"/>
  <tableColumns count="9">
    <tableColumn id="2" name="Newtonsoft (duration)" totalsRowFunction="custom">
      <totalsRowFormula>AverageNumbers[](Table48[Newtonsoft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AverageNumbers[](Table48[Jackson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AverageNumbers[](Table48[Protobuf.NET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54">
  <autoFilter ref="B51:O54"/>
  <tableColumns count="14">
    <tableColumn id="2" name="Newtonsoft (duration)" totalsRowFunction="custom">
      <totalsRowFormula>AverageNumbers[](Table51[Newtonsoft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AverageNumbers[](Table51[Revenj.NET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AverageNumbers[](Table51[Jackson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AverageNumbers[](Table51[DSL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AverageNumbers[](Table51[Protobuf.NET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27">
      <calculatedColumnFormula>AverageNumbers[](Table51[Newtonsoft (duration)])</calculatedColumnFormula>
    </tableColumn>
    <tableColumn id="3" name="Revenj.Net full" dataDxfId="126"/>
    <tableColumn id="4" name="Revenj.Net minimal" dataDxfId="125"/>
    <tableColumn id="8" name="Jackson" dataDxfId="124"/>
    <tableColumn id="7" name="DSL client Java full" dataDxfId="123"/>
    <tableColumn id="5" name="DSL client Java minimal" dataDxfId="122"/>
    <tableColumn id="6" name="Protobuf.NET" dataDxfId="121"/>
    <tableColumn id="9" name=".NET (instance only)" dataDxfId="120">
      <calculatedColumnFormula>AVERAGE(Table52[.NET (instance only)])</calculatedColumnFormula>
    </tableColumn>
    <tableColumn id="10" name="JVM (instance only)" dataDxfId="119">
      <calculatedColumnFormula>AVERAGE(Table52[JVM (instance only)])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118">
      <calculatedColumnFormula>AverageNumbers[](Table51[Newtonsoft (duration)])</calculatedColumnFormula>
    </tableColumn>
    <tableColumn id="3" name="Revenj.Net full" dataDxfId="117"/>
    <tableColumn id="4" name="Revenj.Net minimal" dataDxfId="116"/>
    <tableColumn id="5" name="Jackson" dataDxfId="115"/>
    <tableColumn id="6" name="DSL client Java full" dataDxfId="114"/>
    <tableColumn id="7" name="DSL client Java minimal" dataDxfId="113"/>
    <tableColumn id="8" name="Protobuf.NET" dataDxfId="11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2" name="Table52" displayName="Table52" ref="B57:J60">
  <autoFilter ref="B57:J60"/>
  <tableColumns count="9">
    <tableColumn id="2" name="Newtonsoft (duration)" totalsRowFunction="custom">
      <totalsRowFormula>AverageNumbers[](Table52[Newtonsoft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AverageNumbers[](Table52[Jackson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AverageNumbers[](Table52[Protobuf.NET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54">
  <autoFilter ref="B51:O54"/>
  <tableColumns count="14">
    <tableColumn id="2" name="Newtonsoft (duration)" totalsRowFunction="custom">
      <totalsRowFormula>AverageNumbers[](Table55[Newtonsoft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AverageNumbers[](Table55[Revenj.NET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AverageNumbers[](Table55[Jackson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AverageNumbers[](Table55[DSL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AverageNumbers[](Table55[Protobuf.NET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54">
  <autoFilter ref="B51:O54"/>
  <tableColumns count="14">
    <tableColumn id="2" name="Newtonsoft (duration)" totalsRowFunction="custom">
      <totalsRowFormula>AverageNumbers[](Table11[Newtonsoft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AverageNumbers[](Table11[Revenj.NET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AverageNumbers[](Table11[Jackson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AverageNumbers[](Table11[DSL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AverageNumbers[](Table11[Protobuf.NET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11">
      <calculatedColumnFormula>AverageNumbers[](Table55[Newtonsoft (duration)])</calculatedColumnFormula>
    </tableColumn>
    <tableColumn id="3" name="Revenj.Net full" dataDxfId="110"/>
    <tableColumn id="4" name="Revenj.Net minimal" dataDxfId="109"/>
    <tableColumn id="8" name="Jackson" dataDxfId="108"/>
    <tableColumn id="7" name="DSL client Java full" dataDxfId="107"/>
    <tableColumn id="5" name="DSL client Java minimal" dataDxfId="106"/>
    <tableColumn id="6" name="Protobuf.NET" dataDxfId="105"/>
    <tableColumn id="9" name=".NET (instance only)" dataDxfId="104">
      <calculatedColumnFormula>AVERAGE(Table56[.NET (instance only)])</calculatedColumnFormula>
    </tableColumn>
    <tableColumn id="10" name="JVM (instance only)" dataDxfId="103">
      <calculatedColumnFormula>AVERAGE(Table56[JVM (instance only)])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102">
      <calculatedColumnFormula>AverageNumbers[](Table55[Newtonsoft (duration)])</calculatedColumnFormula>
    </tableColumn>
    <tableColumn id="3" name="Revenj.Net full" dataDxfId="101"/>
    <tableColumn id="4" name="Revenj.Net minimal" dataDxfId="100"/>
    <tableColumn id="5" name="Jackson" dataDxfId="99"/>
    <tableColumn id="6" name="DSL client Java full" dataDxfId="98"/>
    <tableColumn id="7" name="DSL client Java minimal" dataDxfId="97"/>
    <tableColumn id="8" name="Protobuf.NET" dataDxfId="96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6" name="Table56" displayName="Table56" ref="B57:J60">
  <autoFilter ref="B57:J60"/>
  <tableColumns count="9">
    <tableColumn id="2" name="Newtonsoft (duration)" totalsRowFunction="custom">
      <totalsRowFormula>AverageNumbers[](Table56[Newtonsoft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AverageNumbers[](Table56[Jackson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AverageNumbers[](Table56[Protobuf.NET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54">
  <autoFilter ref="B51:O54"/>
  <tableColumns count="14">
    <tableColumn id="2" name="Newtonsoft (duration)" totalsRowFunction="custom">
      <totalsRowFormula>AverageNumbers[](Table59[Newtonsoft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AverageNumbers[](Table59[Revenj.NET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AverageNumbers[](Table59[Jackson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AverageNumbers[](Table59[DSL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AverageNumbers[](Table59[Protobuf.NET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95">
      <calculatedColumnFormula>AverageNumbers[](Table59[Newtonsoft (duration)])</calculatedColumnFormula>
    </tableColumn>
    <tableColumn id="3" name="Revenj.Net full" dataDxfId="94"/>
    <tableColumn id="4" name="Revenj.Net minimal" dataDxfId="93"/>
    <tableColumn id="8" name="Jackson" dataDxfId="92"/>
    <tableColumn id="7" name="DSL client Java full" dataDxfId="91"/>
    <tableColumn id="5" name="DSL client Java minimal" dataDxfId="90"/>
    <tableColumn id="6" name="Protobuf.NET" dataDxfId="89"/>
    <tableColumn id="9" name=".NET (instance only)" dataDxfId="88">
      <calculatedColumnFormula>AVERAGE(Table60[.NET (instance only)])</calculatedColumnFormula>
    </tableColumn>
    <tableColumn id="10" name="JVM (instance only)" dataDxfId="87">
      <calculatedColumnFormula>AVERAGE(Table60[JVM (instance only)])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86">
      <calculatedColumnFormula>AverageNumbers[](Table59[Newtonsoft (duration)])</calculatedColumnFormula>
    </tableColumn>
    <tableColumn id="3" name="Revenj.Net full" dataDxfId="85"/>
    <tableColumn id="4" name="Revenj.Net minimal" dataDxfId="84"/>
    <tableColumn id="5" name="Jackson" dataDxfId="83"/>
    <tableColumn id="6" name="DSL client Java full" dataDxfId="82"/>
    <tableColumn id="7" name="DSL client Java minimal" dataDxfId="81"/>
    <tableColumn id="8" name="Protobuf.NET" dataDxfId="8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0" name="Table60" displayName="Table60" ref="B57:J60">
  <autoFilter ref="B57:J60"/>
  <tableColumns count="9">
    <tableColumn id="2" name="Newtonsoft (duration)" totalsRowFunction="custom">
      <totalsRowFormula>AverageNumbers[](Table60[Newtonsoft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AverageNumbers[](Table60[Jackson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AverageNumbers[](Table60[Protobuf.NET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54">
  <autoFilter ref="B51:O54"/>
  <tableColumns count="14">
    <tableColumn id="2" name="Newtonsoft (duration)" totalsRowFunction="custom">
      <totalsRowFormula>AverageNumbers[](Table63[Newtonsoft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AverageNumbers[](Table63[Revenj.NET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AverageNumbers[](Table63[Jackson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AverageNumbers[](Table63[DSL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AverageNumbers[](Table63[Protobuf.NET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79">
      <calculatedColumnFormula>AverageNumbers[](Table63[Newtonsoft (duration)])</calculatedColumnFormula>
    </tableColumn>
    <tableColumn id="3" name="Revenj.Net full" dataDxfId="78"/>
    <tableColumn id="4" name="Revenj.Net minimal" dataDxfId="77"/>
    <tableColumn id="8" name="Jackson" dataDxfId="76"/>
    <tableColumn id="7" name="DSL client Java full" dataDxfId="75"/>
    <tableColumn id="5" name="DSL client Java minimal" dataDxfId="74"/>
    <tableColumn id="6" name="Protobuf.NET" dataDxfId="73"/>
    <tableColumn id="9" name=".NET (instance only)" dataDxfId="72">
      <calculatedColumnFormula>AVERAGE(Table64[.NET (instance only)])</calculatedColumnFormula>
    </tableColumn>
    <tableColumn id="10" name="JVM (instance only)" dataDxfId="71">
      <calculatedColumnFormula>AVERAGE(Table64[JVM (instance only)])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70">
      <calculatedColumnFormula>AverageNumbers[](Table63[Newtonsoft (duration)])</calculatedColumnFormula>
    </tableColumn>
    <tableColumn id="3" name="Revenj.Net full" dataDxfId="69"/>
    <tableColumn id="4" name="Revenj.Net minimal" dataDxfId="68"/>
    <tableColumn id="5" name="Jackson" dataDxfId="67"/>
    <tableColumn id="6" name="DSL client Java full" dataDxfId="66"/>
    <tableColumn id="7" name="DSL client Java minimal" dataDxfId="65"/>
    <tableColumn id="8" name="Protobuf.NET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287">
      <calculatedColumnFormula>AverageNumbers[](Table11[Newtonsoft (duration)])</calculatedColumnFormula>
    </tableColumn>
    <tableColumn id="3" name="Revenj.Net full" dataDxfId="286"/>
    <tableColumn id="4" name="Revenj.Net minimal" dataDxfId="285"/>
    <tableColumn id="8" name="Jackson" dataDxfId="284"/>
    <tableColumn id="7" name="DSL client Java full" dataDxfId="283"/>
    <tableColumn id="5" name="DSL client Java minimal" dataDxfId="282"/>
    <tableColumn id="6" name="Protobuf.NET" dataDxfId="281"/>
    <tableColumn id="9" name=".NET (instance only)" dataDxfId="280">
      <calculatedColumnFormula>AVERAGE(Table12[.NET (instance only)])</calculatedColumnFormula>
    </tableColumn>
    <tableColumn id="10" name="JVM (instance only)" dataDxfId="279">
      <calculatedColumnFormula>AVERAGE(Table12[JVM (instance only)])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4" name="Table64" displayName="Table64" ref="B57:J60">
  <autoFilter ref="B57:J60"/>
  <tableColumns count="9">
    <tableColumn id="2" name="Newtonsoft (duration)" totalsRowFunction="custom">
      <totalsRowFormula>AverageNumbers[](Table64[Newtonsoft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AverageNumbers[](Table64[Jackson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AverageNumbers[](Table64[Protobuf.NET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54">
  <autoFilter ref="B51:O54"/>
  <tableColumns count="14">
    <tableColumn id="2" name="Newtonsoft (duration)" totalsRowFunction="custom">
      <totalsRowFormula>AverageNumbers[](Table67[Newtonsoft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AverageNumbers[](Table67[Revenj.NET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AverageNumbers[](Table67[Jackson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AverageNumbers[](Table67[DSL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AverageNumbers[](Table67[Protobuf.NET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63">
      <calculatedColumnFormula>AverageNumbers[](Table67[Newtonsoft (duration)])</calculatedColumnFormula>
    </tableColumn>
    <tableColumn id="3" name="Revenj.Net full" dataDxfId="62"/>
    <tableColumn id="4" name="Revenj.Net minimal" dataDxfId="61"/>
    <tableColumn id="8" name="Jackson" dataDxfId="60"/>
    <tableColumn id="7" name="DSL client Java full" dataDxfId="59"/>
    <tableColumn id="5" name="DSL client Java minimal" dataDxfId="58"/>
    <tableColumn id="6" name="Protobuf.NET" dataDxfId="57"/>
    <tableColumn id="9" name=".NET (instance only)" dataDxfId="56">
      <calculatedColumnFormula>AVERAGE(Table68[.NET (instance only)])</calculatedColumnFormula>
    </tableColumn>
    <tableColumn id="10" name="JVM (instance only)" dataDxfId="55">
      <calculatedColumnFormula>AVERAGE(Table68[JVM (instance only)])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54">
      <calculatedColumnFormula>AverageNumbers[](Table67[Newtonsoft (duration)])</calculatedColumnFormula>
    </tableColumn>
    <tableColumn id="3" name="Revenj.Net full" dataDxfId="53"/>
    <tableColumn id="4" name="Revenj.Net minimal" dataDxfId="52"/>
    <tableColumn id="5" name="Jackson" dataDxfId="51"/>
    <tableColumn id="6" name="DSL client Java full" dataDxfId="50"/>
    <tableColumn id="7" name="DSL client Java minimal" dataDxfId="49"/>
    <tableColumn id="8" name="Protobuf.NET" dataDxfId="4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8" name="Table68" displayName="Table68" ref="B57:J60">
  <autoFilter ref="B57:J60"/>
  <tableColumns count="9">
    <tableColumn id="2" name="Newtonsoft (duration)" totalsRowFunction="custom">
      <totalsRowFormula>AverageNumbers[](Table68[Newtonsoft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AverageNumbers[](Table68[Jackson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AverageNumbers[](Table68[Protobuf.NET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54">
  <autoFilter ref="B51:O54"/>
  <tableColumns count="14">
    <tableColumn id="2" name="Newtonsoft (duration)" totalsRowFunction="custom">
      <totalsRowFormula>AverageNumbers[](Table71[Newtonsoft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AverageNumbers[](Table71[Revenj.NET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AverageNumbers[](Table71[Jackson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AverageNumbers[](Table71[DSL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AverageNumbers[](Table71[Protobuf.NET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47">
      <calculatedColumnFormula>AverageNumbers[](Table71[Newtonsoft (duration)])</calculatedColumnFormula>
    </tableColumn>
    <tableColumn id="3" name="Revenj.Net full" dataDxfId="46"/>
    <tableColumn id="4" name="Revenj.Net minimal" dataDxfId="45"/>
    <tableColumn id="8" name="Jackson" dataDxfId="44"/>
    <tableColumn id="7" name="DSL client Java full" dataDxfId="43"/>
    <tableColumn id="5" name="DSL client Java minimal" dataDxfId="42"/>
    <tableColumn id="6" name="Protobuf.NET" dataDxfId="41"/>
    <tableColumn id="9" name=".NET (instance only)" dataDxfId="40">
      <calculatedColumnFormula>AVERAGE(Table72[.NET (instance only)])</calculatedColumnFormula>
    </tableColumn>
    <tableColumn id="10" name="JVM (instance only)" dataDxfId="39">
      <calculatedColumnFormula>AVERAGE(Table72[JVM (instance only)])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38">
      <calculatedColumnFormula>AverageNumbers[](Table71[Newtonsoft (duration)])</calculatedColumnFormula>
    </tableColumn>
    <tableColumn id="3" name="Revenj.Net full" dataDxfId="37"/>
    <tableColumn id="4" name="Revenj.Net minimal" dataDxfId="36"/>
    <tableColumn id="5" name="Jackson" dataDxfId="35"/>
    <tableColumn id="6" name="DSL client Java full" dataDxfId="34"/>
    <tableColumn id="7" name="DSL client Java minimal" dataDxfId="33"/>
    <tableColumn id="8" name="Protobuf.NET" dataDxfId="3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2" name="Table72" displayName="Table72" ref="B57:J60">
  <autoFilter ref="B57:J60"/>
  <tableColumns count="9">
    <tableColumn id="2" name="Newtonsoft (duration)" totalsRowFunction="custom">
      <totalsRowFormula>AverageNumbers[](Table72[Newtonsoft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AverageNumbers[](Table72[Jackson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AverageNumbers[](Table72[Protobuf.NET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54">
  <autoFilter ref="B51:O54"/>
  <tableColumns count="14">
    <tableColumn id="2" name="Newtonsoft (duration)" totalsRowFunction="custom">
      <totalsRowFormula>AverageNumbers[](Table75[Newtonsoft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AverageNumbers[](Table75[Revenj.NET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AverageNumbers[](Table75[Jackson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AverageNumbers[](Table75[DSL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AverageNumbers[](Table75[Protobuf.NET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278">
      <calculatedColumnFormula>AverageNumbers[](Table11[Newtonsoft (duration)])</calculatedColumnFormula>
    </tableColumn>
    <tableColumn id="3" name="Revenj.Net full" dataDxfId="277"/>
    <tableColumn id="4" name="Revenj.Net minimal" dataDxfId="276"/>
    <tableColumn id="5" name="Jackson" dataDxfId="275"/>
    <tableColumn id="6" name="DSL client Java full" dataDxfId="274"/>
    <tableColumn id="7" name="DSL client Java minimal" dataDxfId="273"/>
    <tableColumn id="8" name="Protobuf.NET" dataDxfId="272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31">
      <calculatedColumnFormula>AverageNumbers[](Table75[Newtonsoft (duration)])</calculatedColumnFormula>
    </tableColumn>
    <tableColumn id="3" name="Revenj.Net full" dataDxfId="30"/>
    <tableColumn id="4" name="Revenj.Net minimal" dataDxfId="29"/>
    <tableColumn id="8" name="Jackson" dataDxfId="28"/>
    <tableColumn id="7" name="DSL client Java full" dataDxfId="27"/>
    <tableColumn id="5" name="DSL client Java minimal" dataDxfId="26"/>
    <tableColumn id="6" name="Protobuf.NET" dataDxfId="25"/>
    <tableColumn id="9" name=".NET (instance only)" dataDxfId="24">
      <calculatedColumnFormula>AVERAGE(Table76[.NET (instance only)])</calculatedColumnFormula>
    </tableColumn>
    <tableColumn id="10" name="JVM (instance only)" dataDxfId="23">
      <calculatedColumnFormula>AVERAGE(Table76[JVM (instance only)])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22">
      <calculatedColumnFormula>AverageNumbers[](Table75[Newtonsoft (duration)])</calculatedColumnFormula>
    </tableColumn>
    <tableColumn id="3" name="Revenj.Net full" dataDxfId="21"/>
    <tableColumn id="4" name="Revenj.Net minimal" dataDxfId="20"/>
    <tableColumn id="5" name="Jackson" dataDxfId="19"/>
    <tableColumn id="6" name="DSL client Java full" dataDxfId="18"/>
    <tableColumn id="7" name="DSL client Java minimal" dataDxfId="17"/>
    <tableColumn id="8" name="Protobuf.NET" dataDxfId="1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6" name="Table76" displayName="Table76" ref="B57:J60">
  <autoFilter ref="B57:J60"/>
  <tableColumns count="9">
    <tableColumn id="2" name="Newtonsoft (duration)" totalsRowFunction="custom">
      <totalsRowFormula>AverageNumbers[](Table76[Newtonsoft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AverageNumbers[](Table76[Jackson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AverageNumbers[](Table76[Protobuf.NET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54">
  <autoFilter ref="B51:O54"/>
  <tableColumns count="14">
    <tableColumn id="2" name="Newtonsoft (duration)" totalsRowFunction="custom">
      <totalsRowFormula>AverageNumbers[](Table79[Newtonsoft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AverageNumbers[](Table79[Revenj.NET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AverageNumbers[](Table79[Jackson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AverageNumbers[](Table79[DSL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AverageNumbers[](Table79[Protobuf.NET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AverageNumbers[](Table79[Newtonsoft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AVERAGE(Table80[.NET (instance only)])</calculatedColumnFormula>
    </tableColumn>
    <tableColumn id="10" name="JVM (instance only)" dataDxfId="7">
      <calculatedColumnFormula>AVERAGE(Table80[JVM (instance only)])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AverageNumbers[](Table79[Newtonsoft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0" name="Table80" displayName="Table80" ref="B57:J60">
  <autoFilter ref="B57:J60"/>
  <tableColumns count="9">
    <tableColumn id="2" name="Newtonsoft (duration)" totalsRowFunction="custom">
      <totalsRowFormula>AverageNumbers[](Table80[Newtonsoft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AverageNumbers[](Table80[Jackson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AverageNumbers[](Table80[Protobuf.NET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57:J60">
  <autoFilter ref="B57:J60"/>
  <tableColumns count="9">
    <tableColumn id="2" name="Newtonsoft (duration)" totalsRowFunction="custom">
      <totalsRowFormula>AverageNumbers[](Table12[Newtonsoft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AverageNumbers[](Table12[Jackson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AverageNumbers[](Table12[Protobuf.NET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54">
  <autoFilter ref="B51:O54"/>
  <tableColumns count="14">
    <tableColumn id="2" name="Newtonsoft (duration)" totalsRowFunction="custom">
      <totalsRowFormula>AverageNumbers[](Table15[Newtonsoft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AverageNumbers[](Table15[Revenj.NET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AverageNumbers[](Table15[Jackson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AverageNumbers[](Table15[DSL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AverageNumbers[](Table15[Protobuf.NET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64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4" Type="http://schemas.openxmlformats.org/officeDocument/2006/relationships/table" Target="../tables/table7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39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AVERAGE(Table39[Newtonsoft (duration)]) - J38</f>
        <v>439.33333333333337</v>
      </c>
      <c r="D38" s="2">
        <f>AVERAGE(Table39[Revenj.NET full (duration)]) - J38</f>
        <v>222</v>
      </c>
      <c r="E38" s="2">
        <f>AVERAGE(Table39[Revenj.NET minimal (duration)]) - J38</f>
        <v>221</v>
      </c>
      <c r="F38" s="2">
        <f>AVERAGE(Table39[Jackson (duration)]) - J39</f>
        <v>566</v>
      </c>
      <c r="G38" s="2">
        <f>AVERAGE(Table39[DSL client Java full (duration)]) - J39</f>
        <v>385.33333333333331</v>
      </c>
      <c r="H38" s="2">
        <f>AVERAGE(Table39[DSL client Java minimal (duration)]) - J39</f>
        <v>393</v>
      </c>
      <c r="I38" s="2">
        <f>AVERAGE(Table39[Protobuf.NET (duration)]) - J38</f>
        <v>148.66666666666663</v>
      </c>
      <c r="J38" s="2">
        <f>AVERAGE(Table40[.NET (instance only)])</f>
        <v>450</v>
      </c>
      <c r="K38" s="2">
        <f>AVERAGE(Table40[JVM (instance only)])</f>
        <v>324.66666666666669</v>
      </c>
    </row>
    <row r="39" spans="2:11" x14ac:dyDescent="0.25">
      <c r="B39" t="s">
        <v>3</v>
      </c>
      <c r="C39" s="2">
        <f>C40-C38</f>
        <v>1449.333333333333</v>
      </c>
      <c r="D39" s="2">
        <f t="shared" ref="D39:I39" si="0">D40-D38</f>
        <v>477.66666666666674</v>
      </c>
      <c r="E39" s="2">
        <f t="shared" si="0"/>
        <v>470.33333333333326</v>
      </c>
      <c r="F39" s="2">
        <f t="shared" ref="F39:H39" si="1">F40-F38</f>
        <v>487.66666666666674</v>
      </c>
      <c r="G39" s="2">
        <f t="shared" si="1"/>
        <v>80.333333333333371</v>
      </c>
      <c r="H39" s="2">
        <f t="shared" si="1"/>
        <v>64.333333333333314</v>
      </c>
      <c r="I39" s="2">
        <f t="shared" si="0"/>
        <v>650.66666666666663</v>
      </c>
      <c r="J39" s="2"/>
      <c r="K39" s="2"/>
    </row>
    <row r="40" spans="2:11" x14ac:dyDescent="0.25">
      <c r="B40" t="s">
        <v>1</v>
      </c>
      <c r="C40" s="2">
        <f>AVERAGE(Table40[Newtonsoft (duration)]) - J38</f>
        <v>1888.6666666666665</v>
      </c>
      <c r="D40" s="2">
        <f>AVERAGE(Table40[Revenj.NET full (duration)]) - J38</f>
        <v>699.66666666666674</v>
      </c>
      <c r="E40" s="2">
        <f>AVERAGE(Table40[Revenj.NET minimal (duration)]) - J38</f>
        <v>691.33333333333326</v>
      </c>
      <c r="F40" s="2">
        <f>AVERAGE(Table40[Jackson (duration)]) - J39</f>
        <v>1053.6666666666667</v>
      </c>
      <c r="G40" s="2">
        <f>AVERAGE(Table40[DSL client Java full (duration)]) - J39</f>
        <v>465.66666666666669</v>
      </c>
      <c r="H40" s="2">
        <f>AVERAGE(Table40[DSL client Java minimal (duration)]) - J39</f>
        <v>457.33333333333331</v>
      </c>
      <c r="I40" s="2">
        <f>AVERAGE(Table40[Protobuf.NET (duration)]) - J38</f>
        <v>799.33333333333326</v>
      </c>
      <c r="J40" s="2"/>
      <c r="K40" s="2"/>
    </row>
    <row r="41" spans="2:11" x14ac:dyDescent="0.25">
      <c r="B41" t="s">
        <v>8</v>
      </c>
      <c r="C41" s="3">
        <f>AVERAGE(Table39[Newtonsoft (size)])</f>
        <v>12985962</v>
      </c>
      <c r="D41" s="3">
        <f>AVERAGE(Table39[Revenj.NET full (size)])</f>
        <v>12736183.333333334</v>
      </c>
      <c r="E41" s="3">
        <f>AVERAGE(Table39[Revenj.NET minimal (size)])</f>
        <v>11986235</v>
      </c>
      <c r="F41" s="3">
        <f>AVERAGE(Table39[Jackson (size)])</f>
        <v>12787103</v>
      </c>
      <c r="G41" s="3">
        <f>AVERAGE(Table39[DSL client Java full (size)])</f>
        <v>12787087</v>
      </c>
      <c r="H41" s="3">
        <f>AVERAGE(Table39[DSL client Java minimal (size)])</f>
        <v>12037087</v>
      </c>
      <c r="I41" s="3">
        <f>AVERAGE(Table39[Protobuf.NET (size)])</f>
        <v>5585034.333333333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DEVSQ(Table39[Newtonsoft (duration)])</f>
        <v>116.66666666666669</v>
      </c>
      <c r="D46" s="2">
        <f>DEVSQ(Table39[Revenj.NET full (duration)])</f>
        <v>6</v>
      </c>
      <c r="E46" s="2">
        <f>DEVSQ(Table39[Revenj.NET minimal (duration)])</f>
        <v>38</v>
      </c>
      <c r="F46" s="2">
        <f>DEVSQ(Table39[Jackson (duration)])</f>
        <v>2814</v>
      </c>
      <c r="G46" s="2">
        <f>DEVSQ(Table39[DSL client Java full (duration)])</f>
        <v>74.666666666666671</v>
      </c>
      <c r="H46" s="2">
        <f>DEVSQ(Table39[DSL client Java minimal (duration)])</f>
        <v>474</v>
      </c>
      <c r="I46" s="2">
        <f>DEVSQ(Table39[Protobuf.NET (duration)])</f>
        <v>20.666666666666664</v>
      </c>
    </row>
    <row r="47" spans="2:11" x14ac:dyDescent="0.25">
      <c r="B47" t="s">
        <v>1</v>
      </c>
      <c r="C47" s="2">
        <f>DEVSQ(Table40[Newtonsoft (duration)])</f>
        <v>1748.666666666667</v>
      </c>
      <c r="D47" s="2">
        <f>DEVSQ(Table40[Revenj.NET full (duration)])</f>
        <v>312.66666666666663</v>
      </c>
      <c r="E47" s="2">
        <f>DEVSQ(Table40[Revenj.NET minimal (duration)])</f>
        <v>112.66666666666666</v>
      </c>
      <c r="F47" s="2">
        <f>DEVSQ(Table40[Jackson (duration)])</f>
        <v>832.66666666666674</v>
      </c>
      <c r="G47" s="2">
        <f>DEVSQ(Table40[DSL client Java full (duration)])</f>
        <v>92.666666666666671</v>
      </c>
      <c r="H47" s="2">
        <f>DEVSQ(Table40[DSL client Java minimal (duration)])</f>
        <v>8.6666666666666661</v>
      </c>
      <c r="I47" s="2">
        <f>DEVSQ(Table40[Protobuf.NET (duration)])</f>
        <v>152.66666666666666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881</v>
      </c>
      <c r="C52">
        <v>12986021</v>
      </c>
      <c r="D52">
        <v>674</v>
      </c>
      <c r="E52">
        <v>12736134</v>
      </c>
      <c r="F52">
        <v>669</v>
      </c>
      <c r="G52">
        <v>11986197</v>
      </c>
      <c r="H52">
        <v>540</v>
      </c>
      <c r="I52">
        <v>12787103</v>
      </c>
      <c r="J52">
        <v>384</v>
      </c>
      <c r="K52">
        <v>12787087</v>
      </c>
      <c r="L52">
        <v>410</v>
      </c>
      <c r="M52">
        <v>12037087</v>
      </c>
      <c r="N52">
        <v>600</v>
      </c>
      <c r="O52">
        <v>5584682</v>
      </c>
    </row>
    <row r="53" spans="2:15" x14ac:dyDescent="0.25">
      <c r="B53">
        <v>891</v>
      </c>
      <c r="C53">
        <v>12985989</v>
      </c>
      <c r="D53">
        <v>671</v>
      </c>
      <c r="E53">
        <v>12736227</v>
      </c>
      <c r="F53">
        <v>668</v>
      </c>
      <c r="G53">
        <v>11986290</v>
      </c>
      <c r="H53">
        <v>549</v>
      </c>
      <c r="I53">
        <v>12787103</v>
      </c>
      <c r="J53">
        <v>392</v>
      </c>
      <c r="K53">
        <v>12787087</v>
      </c>
      <c r="L53">
        <v>389</v>
      </c>
      <c r="M53">
        <v>12037087</v>
      </c>
      <c r="N53">
        <v>601</v>
      </c>
      <c r="O53">
        <v>5584111</v>
      </c>
    </row>
    <row r="54" spans="2:15" x14ac:dyDescent="0.25">
      <c r="B54">
        <v>896</v>
      </c>
      <c r="C54">
        <v>12985876</v>
      </c>
      <c r="D54">
        <v>671</v>
      </c>
      <c r="E54">
        <v>12736189</v>
      </c>
      <c r="F54">
        <v>676</v>
      </c>
      <c r="G54">
        <v>11986218</v>
      </c>
      <c r="H54">
        <v>609</v>
      </c>
      <c r="I54">
        <v>12787103</v>
      </c>
      <c r="J54">
        <v>380</v>
      </c>
      <c r="K54">
        <v>12787087</v>
      </c>
      <c r="L54">
        <v>380</v>
      </c>
      <c r="M54">
        <v>12037087</v>
      </c>
      <c r="N54">
        <v>595</v>
      </c>
      <c r="O54">
        <v>5586310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2332</v>
      </c>
      <c r="C58">
        <v>1164</v>
      </c>
      <c r="D58">
        <v>1141</v>
      </c>
      <c r="E58">
        <v>1049</v>
      </c>
      <c r="F58">
        <v>458</v>
      </c>
      <c r="G58">
        <v>455</v>
      </c>
      <c r="H58">
        <v>1259</v>
      </c>
      <c r="I58">
        <v>450</v>
      </c>
      <c r="J58">
        <v>326</v>
      </c>
    </row>
    <row r="59" spans="2:15" x14ac:dyDescent="0.25">
      <c r="B59">
        <v>2371</v>
      </c>
      <c r="C59">
        <v>1144</v>
      </c>
      <c r="D59">
        <v>1134</v>
      </c>
      <c r="E59">
        <v>1036</v>
      </c>
      <c r="F59">
        <v>471</v>
      </c>
      <c r="G59">
        <v>458</v>
      </c>
      <c r="H59">
        <v>1242</v>
      </c>
      <c r="I59">
        <v>450</v>
      </c>
      <c r="J59">
        <v>326</v>
      </c>
    </row>
    <row r="60" spans="2:15" x14ac:dyDescent="0.25">
      <c r="B60">
        <v>2313</v>
      </c>
      <c r="C60">
        <v>1141</v>
      </c>
      <c r="D60">
        <v>1149</v>
      </c>
      <c r="E60">
        <v>1076</v>
      </c>
      <c r="F60">
        <v>468</v>
      </c>
      <c r="G60">
        <v>459</v>
      </c>
      <c r="H60">
        <v>1247</v>
      </c>
      <c r="I60">
        <v>450</v>
      </c>
      <c r="J60">
        <v>322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40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AVERAGE(Table43[Newtonsoft (duration)]) - J38</f>
        <v>4255</v>
      </c>
      <c r="D38" s="2">
        <f>AVERAGE(Table43[Revenj.NET full (duration)]) - J38</f>
        <v>2255</v>
      </c>
      <c r="E38" s="2">
        <f>AVERAGE(Table43[Revenj.NET minimal (duration)]) - J38</f>
        <v>2207</v>
      </c>
      <c r="F38" s="2">
        <f>AVERAGE(Table43[Jackson (duration)]) - J39</f>
        <v>3907.6666666666665</v>
      </c>
      <c r="G38" s="2">
        <f>AVERAGE(Table43[DSL client Java full (duration)]) - J39</f>
        <v>2846.3333333333335</v>
      </c>
      <c r="H38" s="2">
        <f>AVERAGE(Table43[DSL client Java minimal (duration)]) - J39</f>
        <v>2868.6666666666665</v>
      </c>
      <c r="I38" s="2">
        <f>AVERAGE(Table43[Protobuf.NET (duration)]) - J38</f>
        <v>1465.333333333333</v>
      </c>
      <c r="J38" s="2">
        <f>AVERAGE(Table44[.NET (instance only)])</f>
        <v>4367</v>
      </c>
      <c r="K38" s="2">
        <f>AVERAGE(Table44[JVM (instance only)])</f>
        <v>2475.6666666666665</v>
      </c>
    </row>
    <row r="39" spans="2:11" x14ac:dyDescent="0.25">
      <c r="B39" t="s">
        <v>3</v>
      </c>
      <c r="C39" s="2">
        <f>C40-C38</f>
        <v>14675</v>
      </c>
      <c r="D39" s="2">
        <f t="shared" ref="D39:I39" si="0">D40-D38</f>
        <v>4790.6666666666661</v>
      </c>
      <c r="E39" s="2">
        <f t="shared" si="0"/>
        <v>4736</v>
      </c>
      <c r="F39" s="2">
        <f t="shared" ref="F39:H39" si="1">F40-F38</f>
        <v>3675.3333333333335</v>
      </c>
      <c r="G39" s="2">
        <f t="shared" si="1"/>
        <v>693.33333333333303</v>
      </c>
      <c r="H39" s="2">
        <f t="shared" si="1"/>
        <v>665</v>
      </c>
      <c r="I39" s="2">
        <f t="shared" si="0"/>
        <v>6514.0000000000009</v>
      </c>
      <c r="J39" s="2"/>
      <c r="K39" s="2"/>
    </row>
    <row r="40" spans="2:11" x14ac:dyDescent="0.25">
      <c r="B40" t="s">
        <v>1</v>
      </c>
      <c r="C40" s="2">
        <f>AVERAGE(Table44[Newtonsoft (duration)]) - J38</f>
        <v>18930</v>
      </c>
      <c r="D40" s="2">
        <f>AVERAGE(Table44[Revenj.NET full (duration)]) - J38</f>
        <v>7045.6666666666661</v>
      </c>
      <c r="E40" s="2">
        <f>AVERAGE(Table44[Revenj.NET minimal (duration)]) - J38</f>
        <v>6943</v>
      </c>
      <c r="F40" s="2">
        <f>AVERAGE(Table44[Jackson (duration)]) - J39</f>
        <v>7583</v>
      </c>
      <c r="G40" s="2">
        <f>AVERAGE(Table44[DSL client Java full (duration)]) - J39</f>
        <v>3539.6666666666665</v>
      </c>
      <c r="H40" s="2">
        <f>AVERAGE(Table44[DSL client Java minimal (duration)]) - J39</f>
        <v>3533.6666666666665</v>
      </c>
      <c r="I40" s="2">
        <f>AVERAGE(Table44[Protobuf.NET (duration)]) - J38</f>
        <v>7979.3333333333339</v>
      </c>
      <c r="J40" s="2"/>
      <c r="K40" s="2"/>
    </row>
    <row r="41" spans="2:11" x14ac:dyDescent="0.25">
      <c r="B41" t="s">
        <v>8</v>
      </c>
      <c r="C41" s="3">
        <f>AVERAGE(Table43[Newtonsoft (size)])</f>
        <v>130859825.66666667</v>
      </c>
      <c r="D41" s="3">
        <f>AVERAGE(Table43[Revenj.NET full (size)])</f>
        <v>128364304.33333333</v>
      </c>
      <c r="E41" s="3">
        <f>AVERAGE(Table43[Revenj.NET minimal (size)])</f>
        <v>120862894.33333333</v>
      </c>
      <c r="F41" s="3">
        <f>AVERAGE(Table43[Jackson (size)])</f>
        <v>128871261</v>
      </c>
      <c r="G41" s="3">
        <f>AVERAGE(Table43[DSL client Java full (size)])</f>
        <v>128871258</v>
      </c>
      <c r="H41" s="3">
        <f>AVERAGE(Table43[DSL client Java minimal (size)])</f>
        <v>121371258</v>
      </c>
      <c r="I41" s="3">
        <f>AVERAGE(Table43[Protobuf.NET (size)])</f>
        <v>56846149.666666664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DEVSQ(Table43[Newtonsoft (duration)])</f>
        <v>1442</v>
      </c>
      <c r="D46" s="2">
        <f>DEVSQ(Table43[Revenj.NET full (duration)])</f>
        <v>4106</v>
      </c>
      <c r="E46" s="2">
        <f>DEVSQ(Table43[Revenj.NET minimal (duration)])</f>
        <v>26</v>
      </c>
      <c r="F46" s="2">
        <f>DEVSQ(Table43[Jackson (duration)])</f>
        <v>3850.666666666667</v>
      </c>
      <c r="G46" s="2">
        <f>DEVSQ(Table43[DSL client Java full (duration)])</f>
        <v>204.66666666666663</v>
      </c>
      <c r="H46" s="2">
        <f>DEVSQ(Table43[DSL client Java minimal (duration)])</f>
        <v>138.66666666666666</v>
      </c>
      <c r="I46" s="2">
        <f>DEVSQ(Table43[Protobuf.NET (duration)])</f>
        <v>864.66666666666652</v>
      </c>
    </row>
    <row r="47" spans="2:11" x14ac:dyDescent="0.25">
      <c r="B47" t="s">
        <v>1</v>
      </c>
      <c r="C47" s="2">
        <f>DEVSQ(Table44[Newtonsoft (duration)])</f>
        <v>68550</v>
      </c>
      <c r="D47" s="2">
        <f>DEVSQ(Table44[Revenj.NET full (duration)])</f>
        <v>5828.6666666666661</v>
      </c>
      <c r="E47" s="2">
        <f>DEVSQ(Table44[Revenj.NET minimal (duration)])</f>
        <v>25778</v>
      </c>
      <c r="F47" s="2">
        <f>DEVSQ(Table44[Jackson (duration)])</f>
        <v>17286</v>
      </c>
      <c r="G47" s="2">
        <f>DEVSQ(Table44[DSL client Java full (duration)])</f>
        <v>3090.666666666667</v>
      </c>
      <c r="H47" s="2">
        <f>DEVSQ(Table44[DSL client Java minimal (duration)])</f>
        <v>1188.6666666666665</v>
      </c>
      <c r="I47" s="2">
        <f>DEVSQ(Table44[Protobuf.NET (duration)])</f>
        <v>14652.666666666666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8637</v>
      </c>
      <c r="C52">
        <v>130860558</v>
      </c>
      <c r="D52">
        <v>6591</v>
      </c>
      <c r="E52">
        <v>128365495</v>
      </c>
      <c r="F52">
        <v>6571</v>
      </c>
      <c r="G52">
        <v>120864017</v>
      </c>
      <c r="H52">
        <v>3893</v>
      </c>
      <c r="I52">
        <v>128871261</v>
      </c>
      <c r="J52">
        <v>2858</v>
      </c>
      <c r="K52">
        <v>128871258</v>
      </c>
      <c r="L52">
        <v>2878</v>
      </c>
      <c r="M52">
        <v>121371258</v>
      </c>
      <c r="N52">
        <v>5817</v>
      </c>
      <c r="O52">
        <v>56843978</v>
      </c>
    </row>
    <row r="53" spans="2:15" x14ac:dyDescent="0.25">
      <c r="B53">
        <v>8638</v>
      </c>
      <c r="C53">
        <v>130860917</v>
      </c>
      <c r="D53">
        <v>6674</v>
      </c>
      <c r="E53">
        <v>128362714</v>
      </c>
      <c r="F53">
        <v>6578</v>
      </c>
      <c r="G53">
        <v>120867187</v>
      </c>
      <c r="H53">
        <v>3873</v>
      </c>
      <c r="I53">
        <v>128871261</v>
      </c>
      <c r="J53">
        <v>2840</v>
      </c>
      <c r="K53">
        <v>128871258</v>
      </c>
      <c r="L53">
        <v>2862</v>
      </c>
      <c r="M53">
        <v>121371258</v>
      </c>
      <c r="N53">
        <v>5856</v>
      </c>
      <c r="O53">
        <v>56848026</v>
      </c>
    </row>
    <row r="54" spans="2:15" x14ac:dyDescent="0.25">
      <c r="B54">
        <v>8591</v>
      </c>
      <c r="C54">
        <v>130858002</v>
      </c>
      <c r="D54">
        <v>6601</v>
      </c>
      <c r="E54">
        <v>128364704</v>
      </c>
      <c r="F54">
        <v>6573</v>
      </c>
      <c r="G54">
        <v>120857479</v>
      </c>
      <c r="H54">
        <v>3957</v>
      </c>
      <c r="I54">
        <v>128871261</v>
      </c>
      <c r="J54">
        <v>2841</v>
      </c>
      <c r="K54">
        <v>128871258</v>
      </c>
      <c r="L54">
        <v>2866</v>
      </c>
      <c r="M54">
        <v>121371258</v>
      </c>
      <c r="N54">
        <v>5824</v>
      </c>
      <c r="O54">
        <v>56846445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23247</v>
      </c>
      <c r="C58">
        <v>11462</v>
      </c>
      <c r="D58">
        <v>11422</v>
      </c>
      <c r="E58">
        <v>7684</v>
      </c>
      <c r="F58">
        <v>3585</v>
      </c>
      <c r="G58">
        <v>3552</v>
      </c>
      <c r="H58">
        <v>12320</v>
      </c>
      <c r="I58">
        <v>4378</v>
      </c>
      <c r="J58">
        <v>2449</v>
      </c>
    </row>
    <row r="59" spans="2:15" x14ac:dyDescent="0.25">
      <c r="B59">
        <v>23142</v>
      </c>
      <c r="C59">
        <v>11355</v>
      </c>
      <c r="D59">
        <v>11195</v>
      </c>
      <c r="E59">
        <v>7564</v>
      </c>
      <c r="F59">
        <v>3515</v>
      </c>
      <c r="G59">
        <v>3543</v>
      </c>
      <c r="H59">
        <v>12442</v>
      </c>
      <c r="I59">
        <v>4358</v>
      </c>
      <c r="J59">
        <v>2507</v>
      </c>
    </row>
    <row r="60" spans="2:15" x14ac:dyDescent="0.25">
      <c r="B60">
        <v>23502</v>
      </c>
      <c r="C60">
        <v>11421</v>
      </c>
      <c r="D60">
        <v>11313</v>
      </c>
      <c r="E60">
        <v>7501</v>
      </c>
      <c r="F60">
        <v>3519</v>
      </c>
      <c r="G60">
        <v>3506</v>
      </c>
      <c r="H60">
        <v>12277</v>
      </c>
      <c r="I60">
        <v>4365</v>
      </c>
      <c r="J60">
        <v>2471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41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AVERAGE(Table47[Newtonsoft (duration)]) - J38</f>
        <v>42912.666666666664</v>
      </c>
      <c r="D38" s="2">
        <f>AVERAGE(Table47[Revenj.NET full (duration)]) - J38</f>
        <v>22853.333333333336</v>
      </c>
      <c r="E38" s="2">
        <f>AVERAGE(Table47[Revenj.NET minimal (duration)]) - J38</f>
        <v>22387.333333333336</v>
      </c>
      <c r="F38" s="2">
        <f>AVERAGE(Table47[Jackson (duration)]) - J39</f>
        <v>37864.333333333336</v>
      </c>
      <c r="G38" s="2">
        <f>AVERAGE(Table47[DSL client Java full (duration)]) - J39</f>
        <v>27960.333333333332</v>
      </c>
      <c r="H38" s="2">
        <f>AVERAGE(Table47[DSL client Java minimal (duration)]) - J39</f>
        <v>27680.333333333332</v>
      </c>
      <c r="I38" s="2">
        <f>AVERAGE(Table47[Protobuf.NET (duration)]) - J38</f>
        <v>14930</v>
      </c>
      <c r="J38" s="2">
        <f>AVERAGE(Table48[.NET (instance only)])</f>
        <v>43621.666666666664</v>
      </c>
      <c r="K38" s="2">
        <f>AVERAGE(Table48[JVM (instance only)])</f>
        <v>24191.666666666668</v>
      </c>
    </row>
    <row r="39" spans="2:11" x14ac:dyDescent="0.25">
      <c r="B39" t="s">
        <v>3</v>
      </c>
      <c r="C39" s="2">
        <f>C40-C38</f>
        <v>147238.33333333334</v>
      </c>
      <c r="D39" s="2">
        <f t="shared" ref="D39:I39" si="0">D40-D38</f>
        <v>47472.333333333321</v>
      </c>
      <c r="E39" s="2">
        <f t="shared" si="0"/>
        <v>46508.666666666664</v>
      </c>
      <c r="F39" s="2">
        <f t="shared" ref="F39:H39" si="1">F40-F38</f>
        <v>37994.999999999993</v>
      </c>
      <c r="G39" s="2">
        <f t="shared" si="1"/>
        <v>6232.3333333333321</v>
      </c>
      <c r="H39" s="2">
        <f t="shared" si="1"/>
        <v>6078.0000000000036</v>
      </c>
      <c r="I39" s="2">
        <f t="shared" si="0"/>
        <v>65061.333333333343</v>
      </c>
      <c r="J39" s="2"/>
      <c r="K39" s="2"/>
    </row>
    <row r="40" spans="2:11" x14ac:dyDescent="0.25">
      <c r="B40" t="s">
        <v>1</v>
      </c>
      <c r="C40" s="2">
        <f>AVERAGE(Table48[Newtonsoft (duration)]) - J38</f>
        <v>190151</v>
      </c>
      <c r="D40" s="2">
        <f>AVERAGE(Table48[Revenj.NET full (duration)]) - J38</f>
        <v>70325.666666666657</v>
      </c>
      <c r="E40" s="2">
        <f>AVERAGE(Table48[Revenj.NET minimal (duration)]) - J38</f>
        <v>68896</v>
      </c>
      <c r="F40" s="2">
        <f>AVERAGE(Table48[Jackson (duration)]) - J39</f>
        <v>75859.333333333328</v>
      </c>
      <c r="G40" s="2">
        <f>AVERAGE(Table48[DSL client Java full (duration)]) - J39</f>
        <v>34192.666666666664</v>
      </c>
      <c r="H40" s="2">
        <f>AVERAGE(Table48[DSL client Java minimal (duration)]) - J39</f>
        <v>33758.333333333336</v>
      </c>
      <c r="I40" s="2">
        <f>AVERAGE(Table48[Protobuf.NET (duration)]) - J38</f>
        <v>79991.333333333343</v>
      </c>
      <c r="J40" s="2"/>
      <c r="K40" s="2"/>
    </row>
    <row r="41" spans="2:11" x14ac:dyDescent="0.25">
      <c r="B41" t="s">
        <v>8</v>
      </c>
      <c r="C41" s="3">
        <f>AVERAGE(Table47[Newtonsoft (size)])</f>
        <v>1318618236</v>
      </c>
      <c r="D41" s="3">
        <f>AVERAGE(Table47[Revenj.NET full (size)])</f>
        <v>1293640103</v>
      </c>
      <c r="E41" s="3">
        <f>AVERAGE(Table47[Revenj.NET minimal (size)])</f>
        <v>1218628888.6666667</v>
      </c>
      <c r="F41" s="3">
        <f>AVERAGE(Table47[Jackson (size)])</f>
        <v>1298716395</v>
      </c>
      <c r="G41" s="3">
        <f>AVERAGE(Table47[DSL client Java full (size)])</f>
        <v>1298716389</v>
      </c>
      <c r="H41" s="3">
        <f>AVERAGE(Table47[DSL client Java minimal (size)])</f>
        <v>1223716389</v>
      </c>
      <c r="I41" s="3">
        <f>AVERAGE(Table47[Protobuf.NET (size)])</f>
        <v>578464448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DEVSQ(Table47[Newtonsoft (duration)])</f>
        <v>603208.66666666663</v>
      </c>
      <c r="D46" s="2">
        <f>DEVSQ(Table47[Revenj.NET full (duration)])</f>
        <v>149762</v>
      </c>
      <c r="E46" s="2">
        <f>DEVSQ(Table47[Revenj.NET minimal (duration)])</f>
        <v>1784</v>
      </c>
      <c r="F46" s="2">
        <f>DEVSQ(Table47[Jackson (duration)])</f>
        <v>48908.666666666664</v>
      </c>
      <c r="G46" s="2">
        <f>DEVSQ(Table47[DSL client Java full (duration)])</f>
        <v>5648.666666666667</v>
      </c>
      <c r="H46" s="2">
        <f>DEVSQ(Table47[DSL client Java minimal (duration)])</f>
        <v>109394.66666666666</v>
      </c>
      <c r="I46" s="2">
        <f>DEVSQ(Table47[Protobuf.NET (duration)])</f>
        <v>142540.66666666666</v>
      </c>
    </row>
    <row r="47" spans="2:11" x14ac:dyDescent="0.25">
      <c r="B47" t="s">
        <v>1</v>
      </c>
      <c r="C47" s="2">
        <f>DEVSQ(Table48[Newtonsoft (duration)])</f>
        <v>19984364.666666668</v>
      </c>
      <c r="D47" s="2">
        <f>DEVSQ(Table48[Revenj.NET full (duration)])</f>
        <v>148784.66666666669</v>
      </c>
      <c r="E47" s="2">
        <f>DEVSQ(Table48[Revenj.NET minimal (duration)])</f>
        <v>7892.6666666666661</v>
      </c>
      <c r="F47" s="2">
        <f>DEVSQ(Table48[Jackson (duration)])</f>
        <v>28598592.666666668</v>
      </c>
      <c r="G47" s="2">
        <f>DEVSQ(Table48[DSL client Java full (duration)])</f>
        <v>6032.666666666667</v>
      </c>
      <c r="H47" s="2">
        <f>DEVSQ(Table48[DSL client Java minimal (duration)])</f>
        <v>72840.666666666657</v>
      </c>
      <c r="I47" s="2">
        <f>DEVSQ(Table48[Protobuf.NET (duration)])</f>
        <v>6093272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86060</v>
      </c>
      <c r="C52">
        <v>1318612119</v>
      </c>
      <c r="D52">
        <v>66160</v>
      </c>
      <c r="E52">
        <v>1293651417</v>
      </c>
      <c r="F52">
        <v>66021</v>
      </c>
      <c r="G52">
        <v>1218669436</v>
      </c>
      <c r="H52">
        <v>38036</v>
      </c>
      <c r="I52">
        <v>1298716395</v>
      </c>
      <c r="J52">
        <v>27938</v>
      </c>
      <c r="K52">
        <v>1298716389</v>
      </c>
      <c r="L52">
        <v>27657</v>
      </c>
      <c r="M52">
        <v>1223716389</v>
      </c>
      <c r="N52">
        <v>58856</v>
      </c>
      <c r="O52">
        <v>578570357</v>
      </c>
    </row>
    <row r="53" spans="2:15" x14ac:dyDescent="0.25">
      <c r="B53">
        <v>86407</v>
      </c>
      <c r="C53">
        <v>1318607670</v>
      </c>
      <c r="D53">
        <v>66654</v>
      </c>
      <c r="E53">
        <v>1293638721</v>
      </c>
      <c r="F53">
        <v>66031</v>
      </c>
      <c r="G53">
        <v>1218574458</v>
      </c>
      <c r="H53">
        <v>37730</v>
      </c>
      <c r="I53">
        <v>1298716395</v>
      </c>
      <c r="J53">
        <v>28021</v>
      </c>
      <c r="K53">
        <v>1298716389</v>
      </c>
      <c r="L53">
        <v>27459</v>
      </c>
      <c r="M53">
        <v>1223716389</v>
      </c>
      <c r="N53">
        <v>58442</v>
      </c>
      <c r="O53">
        <v>578481602</v>
      </c>
    </row>
    <row r="54" spans="2:15" x14ac:dyDescent="0.25">
      <c r="B54">
        <v>87136</v>
      </c>
      <c r="C54">
        <v>1318634919</v>
      </c>
      <c r="D54">
        <v>66611</v>
      </c>
      <c r="E54">
        <v>1293630171</v>
      </c>
      <c r="F54">
        <v>65975</v>
      </c>
      <c r="G54">
        <v>1218642772</v>
      </c>
      <c r="H54">
        <v>37827</v>
      </c>
      <c r="I54">
        <v>1298716395</v>
      </c>
      <c r="J54">
        <v>27922</v>
      </c>
      <c r="K54">
        <v>1298716389</v>
      </c>
      <c r="L54">
        <v>27925</v>
      </c>
      <c r="M54">
        <v>1223716389</v>
      </c>
      <c r="N54">
        <v>58357</v>
      </c>
      <c r="O54">
        <v>578341385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232959</v>
      </c>
      <c r="C58">
        <v>113924</v>
      </c>
      <c r="D58">
        <v>112570</v>
      </c>
      <c r="E58">
        <v>80095</v>
      </c>
      <c r="F58">
        <v>34132</v>
      </c>
      <c r="G58">
        <v>33938</v>
      </c>
      <c r="H58">
        <v>125627</v>
      </c>
      <c r="I58">
        <v>43758</v>
      </c>
      <c r="J58">
        <v>24141</v>
      </c>
    </row>
    <row r="59" spans="2:15" x14ac:dyDescent="0.25">
      <c r="B59">
        <v>231098</v>
      </c>
      <c r="C59">
        <v>113687</v>
      </c>
      <c r="D59">
        <v>112448</v>
      </c>
      <c r="E59">
        <v>72823</v>
      </c>
      <c r="F59">
        <v>34239</v>
      </c>
      <c r="G59">
        <v>33558</v>
      </c>
      <c r="H59">
        <v>122539</v>
      </c>
      <c r="I59">
        <v>43571</v>
      </c>
      <c r="J59">
        <v>24291</v>
      </c>
    </row>
    <row r="60" spans="2:15" x14ac:dyDescent="0.25">
      <c r="B60">
        <v>237261</v>
      </c>
      <c r="C60">
        <v>114231</v>
      </c>
      <c r="D60">
        <v>112535</v>
      </c>
      <c r="E60">
        <v>74660</v>
      </c>
      <c r="F60">
        <v>34207</v>
      </c>
      <c r="G60">
        <v>33779</v>
      </c>
      <c r="H60">
        <v>122673</v>
      </c>
      <c r="I60">
        <v>43536</v>
      </c>
      <c r="J60">
        <v>24143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42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AVERAGE(Table51[Newtonsoft (duration)]) - J38</f>
        <v>139</v>
      </c>
      <c r="D38" s="2">
        <f>AVERAGE(Table51[Revenj.NET full (duration)]) - J38</f>
        <v>36</v>
      </c>
      <c r="E38" s="2">
        <f>AVERAGE(Table51[Revenj.NET minimal (duration)]) - J38</f>
        <v>34.666666666666664</v>
      </c>
      <c r="F38" s="2">
        <f>AVERAGE(Table51[Jackson (duration)]) - J39</f>
        <v>252.66666666666666</v>
      </c>
      <c r="G38" s="2">
        <f>AVERAGE(Table51[DSL client Java full (duration)]) - J39</f>
        <v>88.333333333333329</v>
      </c>
      <c r="H38" s="2">
        <f>AVERAGE(Table51[DSL client Java minimal (duration)]) - J39</f>
        <v>86.666666666666671</v>
      </c>
      <c r="I38" s="2">
        <f>AVERAGE(Table51[Protobuf.NET (duration)]) - J38</f>
        <v>62</v>
      </c>
      <c r="J38" s="2">
        <f>AVERAGE(Table52[.NET (instance only)])</f>
        <v>11</v>
      </c>
      <c r="K38" s="2">
        <f>AVERAGE(Table52[JVM (instance only)])</f>
        <v>33.333333333333336</v>
      </c>
    </row>
    <row r="39" spans="2:11" x14ac:dyDescent="0.25">
      <c r="B39" t="s">
        <v>3</v>
      </c>
      <c r="C39" s="2">
        <f>C40-C38</f>
        <v>140.66666666666669</v>
      </c>
      <c r="D39" s="2">
        <f t="shared" ref="D39:I39" si="0">D40-D38</f>
        <v>111.66666666666666</v>
      </c>
      <c r="E39" s="2">
        <f t="shared" si="0"/>
        <v>99.333333333333343</v>
      </c>
      <c r="F39" s="2">
        <f t="shared" ref="F39:H39" si="1">F40-F38</f>
        <v>275</v>
      </c>
      <c r="G39" s="2">
        <f t="shared" si="1"/>
        <v>64.666666666666671</v>
      </c>
      <c r="H39" s="2">
        <f t="shared" si="1"/>
        <v>55.999999999999986</v>
      </c>
      <c r="I39" s="2">
        <f t="shared" si="0"/>
        <v>20</v>
      </c>
      <c r="J39" s="2"/>
      <c r="K39" s="2"/>
    </row>
    <row r="40" spans="2:11" x14ac:dyDescent="0.25">
      <c r="B40" t="s">
        <v>1</v>
      </c>
      <c r="C40" s="2">
        <f>AVERAGE(Table52[Newtonsoft (duration)]) - J38</f>
        <v>279.66666666666669</v>
      </c>
      <c r="D40" s="2">
        <f>AVERAGE(Table52[Revenj.NET full (duration)]) - J38</f>
        <v>147.66666666666666</v>
      </c>
      <c r="E40" s="2">
        <f>AVERAGE(Table52[Revenj.NET minimal (duration)]) - J38</f>
        <v>134</v>
      </c>
      <c r="F40" s="2">
        <f>AVERAGE(Table52[Jackson (duration)]) - J39</f>
        <v>527.66666666666663</v>
      </c>
      <c r="G40" s="2">
        <f>AVERAGE(Table52[DSL client Java full (duration)]) - J39</f>
        <v>153</v>
      </c>
      <c r="H40" s="2">
        <f>AVERAGE(Table52[DSL client Java minimal (duration)]) - J39</f>
        <v>142.66666666666666</v>
      </c>
      <c r="I40" s="2">
        <f>AVERAGE(Table52[Protobuf.NET (duration)]) - J38</f>
        <v>82</v>
      </c>
      <c r="J40" s="2"/>
      <c r="K40" s="2"/>
    </row>
    <row r="41" spans="2:11" x14ac:dyDescent="0.25">
      <c r="B41" t="s">
        <v>8</v>
      </c>
      <c r="C41" s="3">
        <f>AVERAGE(Table51[Newtonsoft (size)])</f>
        <v>1777253</v>
      </c>
      <c r="D41" s="3">
        <f>AVERAGE(Table51[Revenj.NET full (size)])</f>
        <v>2249785</v>
      </c>
      <c r="E41" s="3">
        <f>AVERAGE(Table51[Revenj.NET minimal (size)])</f>
        <v>1802584</v>
      </c>
      <c r="F41" s="3">
        <f>AVERAGE(Table51[Jackson (size)])</f>
        <v>1763995</v>
      </c>
      <c r="G41" s="3">
        <f>AVERAGE(Table51[DSL client Java full (size)])</f>
        <v>2203118.3333333335</v>
      </c>
      <c r="H41" s="3">
        <f>AVERAGE(Table51[DSL client Java minimal (size)])</f>
        <v>1762584</v>
      </c>
      <c r="I41" s="3">
        <f>AVERAGE(Table51[Protobuf.NET (size)])</f>
        <v>704000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DEVSQ(Table51[Newtonsoft (duration)])</f>
        <v>0</v>
      </c>
      <c r="D46" s="2">
        <f>DEVSQ(Table51[Revenj.NET full (duration)])</f>
        <v>0</v>
      </c>
      <c r="E46" s="2">
        <f>DEVSQ(Table51[Revenj.NET minimal (duration)])</f>
        <v>0.66666666666666674</v>
      </c>
      <c r="F46" s="2">
        <f>DEVSQ(Table51[Jackson (duration)])</f>
        <v>708.66666666666674</v>
      </c>
      <c r="G46" s="2">
        <f>DEVSQ(Table51[DSL client Java full (duration)])</f>
        <v>170.66666666666669</v>
      </c>
      <c r="H46" s="2">
        <f>DEVSQ(Table51[DSL client Java minimal (duration)])</f>
        <v>400.66666666666663</v>
      </c>
      <c r="I46" s="2">
        <f>DEVSQ(Table51[Protobuf.NET (duration)])</f>
        <v>38</v>
      </c>
    </row>
    <row r="47" spans="2:11" x14ac:dyDescent="0.25">
      <c r="B47" t="s">
        <v>1</v>
      </c>
      <c r="C47" s="2">
        <f>DEVSQ(Table52[Newtonsoft (duration)])</f>
        <v>8.6666666666666661</v>
      </c>
      <c r="D47" s="2">
        <f>DEVSQ(Table52[Revenj.NET full (duration)])</f>
        <v>232.66666666666666</v>
      </c>
      <c r="E47" s="2">
        <f>DEVSQ(Table52[Revenj.NET minimal (duration)])</f>
        <v>2</v>
      </c>
      <c r="F47" s="2">
        <f>DEVSQ(Table52[Jackson (duration)])</f>
        <v>40.666666666666664</v>
      </c>
      <c r="G47" s="2">
        <f>DEVSQ(Table52[DSL client Java full (duration)])</f>
        <v>402</v>
      </c>
      <c r="H47" s="2">
        <f>DEVSQ(Table52[DSL client Java minimal (duration)])</f>
        <v>100.66666666666666</v>
      </c>
      <c r="I47" s="2">
        <f>DEVSQ(Table52[Protobuf.NET (duration)])</f>
        <v>0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150</v>
      </c>
      <c r="C52">
        <v>1777253</v>
      </c>
      <c r="D52">
        <v>47</v>
      </c>
      <c r="E52">
        <v>2249785</v>
      </c>
      <c r="F52">
        <v>46</v>
      </c>
      <c r="G52">
        <v>1802584</v>
      </c>
      <c r="H52">
        <v>231</v>
      </c>
      <c r="I52">
        <v>1763995</v>
      </c>
      <c r="J52">
        <v>99</v>
      </c>
      <c r="K52">
        <v>2189785</v>
      </c>
      <c r="L52">
        <v>78</v>
      </c>
      <c r="M52">
        <v>1762584</v>
      </c>
      <c r="N52">
        <v>75</v>
      </c>
      <c r="O52">
        <v>704000</v>
      </c>
    </row>
    <row r="53" spans="2:15" x14ac:dyDescent="0.25">
      <c r="B53">
        <v>150</v>
      </c>
      <c r="C53">
        <v>1777253</v>
      </c>
      <c r="D53">
        <v>47</v>
      </c>
      <c r="E53">
        <v>2249785</v>
      </c>
      <c r="F53">
        <v>46</v>
      </c>
      <c r="G53">
        <v>1802584</v>
      </c>
      <c r="H53">
        <v>265</v>
      </c>
      <c r="I53">
        <v>1763995</v>
      </c>
      <c r="J53">
        <v>83</v>
      </c>
      <c r="K53">
        <v>2209785</v>
      </c>
      <c r="L53">
        <v>79</v>
      </c>
      <c r="M53">
        <v>1762584</v>
      </c>
      <c r="N53">
        <v>68</v>
      </c>
      <c r="O53">
        <v>704000</v>
      </c>
    </row>
    <row r="54" spans="2:15" x14ac:dyDescent="0.25">
      <c r="B54">
        <v>150</v>
      </c>
      <c r="C54">
        <v>1777253</v>
      </c>
      <c r="D54">
        <v>47</v>
      </c>
      <c r="E54">
        <v>2249785</v>
      </c>
      <c r="F54">
        <v>45</v>
      </c>
      <c r="G54">
        <v>1802584</v>
      </c>
      <c r="H54">
        <v>262</v>
      </c>
      <c r="I54">
        <v>1763995</v>
      </c>
      <c r="J54">
        <v>83</v>
      </c>
      <c r="K54">
        <v>2209785</v>
      </c>
      <c r="L54">
        <v>103</v>
      </c>
      <c r="M54">
        <v>1762584</v>
      </c>
      <c r="N54">
        <v>76</v>
      </c>
      <c r="O54">
        <v>704000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289</v>
      </c>
      <c r="C58">
        <v>151</v>
      </c>
      <c r="D58">
        <v>145</v>
      </c>
      <c r="E58">
        <v>528</v>
      </c>
      <c r="F58">
        <v>164</v>
      </c>
      <c r="G58">
        <v>135</v>
      </c>
      <c r="H58">
        <v>93</v>
      </c>
      <c r="I58">
        <v>11</v>
      </c>
      <c r="J58">
        <v>30</v>
      </c>
    </row>
    <row r="59" spans="2:15" x14ac:dyDescent="0.25">
      <c r="B59">
        <v>293</v>
      </c>
      <c r="C59">
        <v>154</v>
      </c>
      <c r="D59">
        <v>144</v>
      </c>
      <c r="E59">
        <v>523</v>
      </c>
      <c r="F59">
        <v>158</v>
      </c>
      <c r="G59">
        <v>149</v>
      </c>
      <c r="H59">
        <v>93</v>
      </c>
      <c r="I59">
        <v>11</v>
      </c>
      <c r="J59">
        <v>38</v>
      </c>
    </row>
    <row r="60" spans="2:15" x14ac:dyDescent="0.25">
      <c r="B60">
        <v>290</v>
      </c>
      <c r="C60">
        <v>171</v>
      </c>
      <c r="D60">
        <v>146</v>
      </c>
      <c r="E60">
        <v>532</v>
      </c>
      <c r="F60">
        <v>137</v>
      </c>
      <c r="G60">
        <v>144</v>
      </c>
      <c r="H60">
        <v>93</v>
      </c>
      <c r="I60">
        <v>11</v>
      </c>
      <c r="J60">
        <v>32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43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AVERAGE(Table55[Newtonsoft (duration)]) - J38</f>
        <v>680.33333333333337</v>
      </c>
      <c r="D38" s="2">
        <f>AVERAGE(Table55[Revenj.NET full (duration)]) - J38</f>
        <v>273</v>
      </c>
      <c r="E38" s="2">
        <f>AVERAGE(Table55[Revenj.NET minimal (duration)]) - J38</f>
        <v>252.33333333333331</v>
      </c>
      <c r="F38" s="2">
        <f>AVERAGE(Table55[Jackson (duration)]) - J39</f>
        <v>503.33333333333331</v>
      </c>
      <c r="G38" s="2">
        <f>AVERAGE(Table55[DSL client Java full (duration)]) - J39</f>
        <v>221.66666666666666</v>
      </c>
      <c r="H38" s="2">
        <f>AVERAGE(Table55[DSL client Java minimal (duration)]) - J39</f>
        <v>208.33333333333334</v>
      </c>
      <c r="I38" s="2">
        <f>AVERAGE(Table55[Protobuf.NET (duration)]) - J38</f>
        <v>148</v>
      </c>
      <c r="J38" s="2">
        <f>AVERAGE(Table56[.NET (instance only)])</f>
        <v>27</v>
      </c>
      <c r="K38" s="2">
        <f>AVERAGE(Table56[JVM (instance only)])</f>
        <v>71.333333333333329</v>
      </c>
    </row>
    <row r="39" spans="2:11" x14ac:dyDescent="0.25">
      <c r="B39" t="s">
        <v>3</v>
      </c>
      <c r="C39" s="2">
        <f>C40-C38</f>
        <v>1231.3333333333335</v>
      </c>
      <c r="D39" s="2">
        <f t="shared" ref="D39:I39" si="0">D40-D38</f>
        <v>896</v>
      </c>
      <c r="E39" s="2">
        <f t="shared" si="0"/>
        <v>844.66666666666674</v>
      </c>
      <c r="F39" s="2">
        <f t="shared" ref="F39:H39" si="1">F40-F38</f>
        <v>744.66666666666674</v>
      </c>
      <c r="G39" s="2">
        <f t="shared" si="1"/>
        <v>202.33333333333334</v>
      </c>
      <c r="H39" s="2">
        <f t="shared" si="1"/>
        <v>217.99999999999997</v>
      </c>
      <c r="I39" s="2">
        <f t="shared" si="0"/>
        <v>224.33333333333331</v>
      </c>
      <c r="J39" s="2"/>
      <c r="K39" s="2"/>
    </row>
    <row r="40" spans="2:11" x14ac:dyDescent="0.25">
      <c r="B40" t="s">
        <v>1</v>
      </c>
      <c r="C40" s="2">
        <f>AVERAGE(Table56[Newtonsoft (duration)]) - J38</f>
        <v>1911.6666666666667</v>
      </c>
      <c r="D40" s="2">
        <f>AVERAGE(Table56[Revenj.NET full (duration)]) - J38</f>
        <v>1169</v>
      </c>
      <c r="E40" s="2">
        <f>AVERAGE(Table56[Revenj.NET minimal (duration)]) - J38</f>
        <v>1097</v>
      </c>
      <c r="F40" s="2">
        <f>AVERAGE(Table56[Jackson (duration)]) - J39</f>
        <v>1248</v>
      </c>
      <c r="G40" s="2">
        <f>AVERAGE(Table56[DSL client Java full (duration)]) - J39</f>
        <v>424</v>
      </c>
      <c r="H40" s="2">
        <f>AVERAGE(Table56[DSL client Java minimal (duration)]) - J39</f>
        <v>426.33333333333331</v>
      </c>
      <c r="I40" s="2">
        <f>AVERAGE(Table56[Protobuf.NET (duration)]) - J38</f>
        <v>372.33333333333331</v>
      </c>
      <c r="J40" s="2"/>
      <c r="K40" s="2"/>
    </row>
    <row r="41" spans="2:11" x14ac:dyDescent="0.25">
      <c r="B41" t="s">
        <v>8</v>
      </c>
      <c r="C41" s="3">
        <f>AVERAGE(Table55[Newtonsoft (size)])</f>
        <v>18653178.666666668</v>
      </c>
      <c r="D41" s="3">
        <f>AVERAGE(Table55[Revenj.NET full (size)])</f>
        <v>23399332</v>
      </c>
      <c r="E41" s="3">
        <f>AVERAGE(Table55[Revenj.NET minimal (size)])</f>
        <v>18939843</v>
      </c>
      <c r="F41" s="3">
        <f>AVERAGE(Table55[Jackson (size)])</f>
        <v>18541254</v>
      </c>
      <c r="G41" s="3">
        <f>AVERAGE(Table55[DSL client Java full (size)])</f>
        <v>22999332</v>
      </c>
      <c r="H41" s="3">
        <f>AVERAGE(Table55[DSL client Java minimal (size)])</f>
        <v>18539843</v>
      </c>
      <c r="I41" s="3">
        <f>AVERAGE(Table55[Protobuf.NET (size)])</f>
        <v>7506385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DEVSQ(Table55[Newtonsoft (duration)])</f>
        <v>64.666666666666657</v>
      </c>
      <c r="D46" s="2">
        <f>DEVSQ(Table55[Revenj.NET full (duration)])</f>
        <v>2</v>
      </c>
      <c r="E46" s="2">
        <f>DEVSQ(Table55[Revenj.NET minimal (duration)])</f>
        <v>0.66666666666666674</v>
      </c>
      <c r="F46" s="2">
        <f>DEVSQ(Table55[Jackson (duration)])</f>
        <v>144.66666666666669</v>
      </c>
      <c r="G46" s="2">
        <f>DEVSQ(Table55[DSL client Java full (duration)])</f>
        <v>116.66666666666666</v>
      </c>
      <c r="H46" s="2">
        <f>DEVSQ(Table55[DSL client Java minimal (duration)])</f>
        <v>8.6666666666666679</v>
      </c>
      <c r="I46" s="2">
        <f>DEVSQ(Table55[Protobuf.NET (duration)])</f>
        <v>0</v>
      </c>
    </row>
    <row r="47" spans="2:11" x14ac:dyDescent="0.25">
      <c r="B47" t="s">
        <v>1</v>
      </c>
      <c r="C47" s="2">
        <f>DEVSQ(Table56[Newtonsoft (duration)])</f>
        <v>468.66666666666674</v>
      </c>
      <c r="D47" s="2">
        <f>DEVSQ(Table56[Revenj.NET full (duration)])</f>
        <v>62</v>
      </c>
      <c r="E47" s="2">
        <f>DEVSQ(Table56[Revenj.NET minimal (duration)])</f>
        <v>1050</v>
      </c>
      <c r="F47" s="2">
        <f>DEVSQ(Table56[Jackson (duration)])</f>
        <v>218</v>
      </c>
      <c r="G47" s="2">
        <f>DEVSQ(Table56[DSL client Java full (duration)])</f>
        <v>98</v>
      </c>
      <c r="H47" s="2">
        <f>DEVSQ(Table56[DSL client Java minimal (duration)])</f>
        <v>144.66666666666669</v>
      </c>
      <c r="I47" s="2">
        <f>DEVSQ(Table56[Protobuf.NET (duration)])</f>
        <v>16.666666666666664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709</v>
      </c>
      <c r="C52">
        <v>18686512</v>
      </c>
      <c r="D52">
        <v>300</v>
      </c>
      <c r="E52">
        <v>23399332</v>
      </c>
      <c r="F52">
        <v>279</v>
      </c>
      <c r="G52">
        <v>18939843</v>
      </c>
      <c r="H52">
        <v>503</v>
      </c>
      <c r="I52">
        <v>18541254</v>
      </c>
      <c r="J52">
        <v>215</v>
      </c>
      <c r="K52">
        <v>22999332</v>
      </c>
      <c r="L52">
        <v>210</v>
      </c>
      <c r="M52">
        <v>18539843</v>
      </c>
      <c r="N52">
        <v>175</v>
      </c>
      <c r="O52">
        <v>7506385</v>
      </c>
    </row>
    <row r="53" spans="2:15" x14ac:dyDescent="0.25">
      <c r="B53">
        <v>712</v>
      </c>
      <c r="C53">
        <v>18686512</v>
      </c>
      <c r="D53">
        <v>299</v>
      </c>
      <c r="E53">
        <v>23399332</v>
      </c>
      <c r="F53">
        <v>280</v>
      </c>
      <c r="G53">
        <v>18939843</v>
      </c>
      <c r="H53">
        <v>495</v>
      </c>
      <c r="I53">
        <v>18541254</v>
      </c>
      <c r="J53">
        <v>220</v>
      </c>
      <c r="K53">
        <v>22999332</v>
      </c>
      <c r="L53">
        <v>206</v>
      </c>
      <c r="M53">
        <v>18539843</v>
      </c>
      <c r="N53">
        <v>175</v>
      </c>
      <c r="O53">
        <v>7506385</v>
      </c>
    </row>
    <row r="54" spans="2:15" x14ac:dyDescent="0.25">
      <c r="B54">
        <v>701</v>
      </c>
      <c r="C54">
        <v>18586512</v>
      </c>
      <c r="D54">
        <v>301</v>
      </c>
      <c r="E54">
        <v>23399332</v>
      </c>
      <c r="F54">
        <v>279</v>
      </c>
      <c r="G54">
        <v>18939843</v>
      </c>
      <c r="H54">
        <v>512</v>
      </c>
      <c r="I54">
        <v>18541254</v>
      </c>
      <c r="J54">
        <v>230</v>
      </c>
      <c r="K54">
        <v>22999332</v>
      </c>
      <c r="L54">
        <v>209</v>
      </c>
      <c r="M54">
        <v>18539843</v>
      </c>
      <c r="N54">
        <v>175</v>
      </c>
      <c r="O54">
        <v>7506385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1921</v>
      </c>
      <c r="C58">
        <v>1195</v>
      </c>
      <c r="D58">
        <v>1149</v>
      </c>
      <c r="E58">
        <v>1260</v>
      </c>
      <c r="F58">
        <v>424</v>
      </c>
      <c r="G58">
        <v>423</v>
      </c>
      <c r="H58">
        <v>396</v>
      </c>
      <c r="I58">
        <v>27</v>
      </c>
      <c r="J58">
        <v>72</v>
      </c>
    </row>
    <row r="59" spans="2:15" x14ac:dyDescent="0.25">
      <c r="B59">
        <v>1948</v>
      </c>
      <c r="C59">
        <v>1202</v>
      </c>
      <c r="D59">
        <v>1104</v>
      </c>
      <c r="E59">
        <v>1241</v>
      </c>
      <c r="F59">
        <v>431</v>
      </c>
      <c r="G59">
        <v>436</v>
      </c>
      <c r="H59">
        <v>401</v>
      </c>
      <c r="I59">
        <v>27</v>
      </c>
      <c r="J59">
        <v>72</v>
      </c>
    </row>
    <row r="60" spans="2:15" x14ac:dyDescent="0.25">
      <c r="B60">
        <v>1947</v>
      </c>
      <c r="C60">
        <v>1191</v>
      </c>
      <c r="D60">
        <v>1119</v>
      </c>
      <c r="E60">
        <v>1243</v>
      </c>
      <c r="F60">
        <v>417</v>
      </c>
      <c r="G60">
        <v>420</v>
      </c>
      <c r="H60">
        <v>401</v>
      </c>
      <c r="I60">
        <v>27</v>
      </c>
      <c r="J60">
        <v>70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44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AVERAGE(Table59[Newtonsoft (duration)]) - J38</f>
        <v>6200</v>
      </c>
      <c r="D38" s="2">
        <f>AVERAGE(Table59[Revenj.NET full (duration)]) - J38</f>
        <v>2634.666666666667</v>
      </c>
      <c r="E38" s="2">
        <f>AVERAGE(Table59[Revenj.NET minimal (duration)]) - J38</f>
        <v>2488.3333333333335</v>
      </c>
      <c r="F38" s="2">
        <f>AVERAGE(Table59[Jackson (duration)]) - J39</f>
        <v>1993.6666666666667</v>
      </c>
      <c r="G38" s="2">
        <f>AVERAGE(Table59[DSL client Java full (duration)]) - J39</f>
        <v>1024.3333333333333</v>
      </c>
      <c r="H38" s="2">
        <f>AVERAGE(Table59[DSL client Java minimal (duration)]) - J39</f>
        <v>996</v>
      </c>
      <c r="I38" s="2">
        <f>AVERAGE(Table59[Protobuf.NET (duration)]) - J38</f>
        <v>1068.3333333333333</v>
      </c>
      <c r="J38" s="2">
        <f>AVERAGE(Table60[.NET (instance only)])</f>
        <v>185.66666666666666</v>
      </c>
      <c r="K38" s="2">
        <f>AVERAGE(Table60[JVM (instance only)])</f>
        <v>275.66666666666669</v>
      </c>
    </row>
    <row r="39" spans="2:11" x14ac:dyDescent="0.25">
      <c r="B39" t="s">
        <v>3</v>
      </c>
      <c r="C39" s="2">
        <f>C40-C38</f>
        <v>12257.666666666664</v>
      </c>
      <c r="D39" s="2">
        <f t="shared" ref="D39:I39" si="0">D40-D38</f>
        <v>9528</v>
      </c>
      <c r="E39" s="2">
        <f t="shared" si="0"/>
        <v>8303</v>
      </c>
      <c r="F39" s="2">
        <f t="shared" ref="F39:H39" si="1">F40-F38</f>
        <v>5394</v>
      </c>
      <c r="G39" s="2">
        <f t="shared" si="1"/>
        <v>1056.0000000000002</v>
      </c>
      <c r="H39" s="2">
        <f t="shared" si="1"/>
        <v>985.66666666666674</v>
      </c>
      <c r="I39" s="2">
        <f t="shared" si="0"/>
        <v>2190</v>
      </c>
      <c r="J39" s="2"/>
      <c r="K39" s="2"/>
    </row>
    <row r="40" spans="2:11" x14ac:dyDescent="0.25">
      <c r="B40" t="s">
        <v>1</v>
      </c>
      <c r="C40" s="2">
        <f>AVERAGE(Table60[Newtonsoft (duration)]) - J38</f>
        <v>18457.666666666664</v>
      </c>
      <c r="D40" s="2">
        <f>AVERAGE(Table60[Revenj.NET full (duration)]) - J38</f>
        <v>12162.666666666668</v>
      </c>
      <c r="E40" s="2">
        <f>AVERAGE(Table60[Revenj.NET minimal (duration)]) - J38</f>
        <v>10791.333333333334</v>
      </c>
      <c r="F40" s="2">
        <f>AVERAGE(Table60[Jackson (duration)]) - J39</f>
        <v>7387.666666666667</v>
      </c>
      <c r="G40" s="2">
        <f>AVERAGE(Table60[DSL client Java full (duration)]) - J39</f>
        <v>2080.3333333333335</v>
      </c>
      <c r="H40" s="2">
        <f>AVERAGE(Table60[DSL client Java minimal (duration)]) - J39</f>
        <v>1981.6666666666667</v>
      </c>
      <c r="I40" s="2">
        <f>AVERAGE(Table60[Protobuf.NET (duration)]) - J38</f>
        <v>3258.3333333333335</v>
      </c>
      <c r="J40" s="2"/>
      <c r="K40" s="2"/>
    </row>
    <row r="41" spans="2:11" x14ac:dyDescent="0.25">
      <c r="B41" t="s">
        <v>8</v>
      </c>
      <c r="C41" s="3">
        <f>AVERAGE(Table59[Newtonsoft (size)])</f>
        <v>195941225</v>
      </c>
      <c r="D41" s="3">
        <f>AVERAGE(Table59[Revenj.NET full (size)])</f>
        <v>243056893</v>
      </c>
      <c r="E41" s="3">
        <f>AVERAGE(Table59[Revenj.NET minimal (size)])</f>
        <v>198474556</v>
      </c>
      <c r="F41" s="3">
        <f>AVERAGE(Table59[Jackson (size)])</f>
        <v>194475967</v>
      </c>
      <c r="G41" s="3">
        <f>AVERAGE(Table59[DSL client Java full (size)])</f>
        <v>239056893</v>
      </c>
      <c r="H41" s="3">
        <f>AVERAGE(Table59[DSL client Java minimal (size)])</f>
        <v>194474556</v>
      </c>
      <c r="I41" s="3">
        <f>AVERAGE(Table59[Protobuf.NET (size)])</f>
        <v>79244720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DEVSQ(Table59[Newtonsoft (duration)])</f>
        <v>2732.6666666666665</v>
      </c>
      <c r="D46" s="2">
        <f>DEVSQ(Table59[Revenj.NET full (duration)])</f>
        <v>716.66666666666663</v>
      </c>
      <c r="E46" s="2">
        <f>DEVSQ(Table59[Revenj.NET minimal (duration)])</f>
        <v>422</v>
      </c>
      <c r="F46" s="2">
        <f>DEVSQ(Table59[Jackson (duration)])</f>
        <v>5708.6666666666661</v>
      </c>
      <c r="G46" s="2">
        <f>DEVSQ(Table59[DSL client Java full (duration)])</f>
        <v>172.66666666666666</v>
      </c>
      <c r="H46" s="2">
        <f>DEVSQ(Table59[DSL client Java minimal (duration)])</f>
        <v>494</v>
      </c>
      <c r="I46" s="2">
        <f>DEVSQ(Table59[Protobuf.NET (duration)])</f>
        <v>2</v>
      </c>
    </row>
    <row r="47" spans="2:11" x14ac:dyDescent="0.25">
      <c r="B47" t="s">
        <v>1</v>
      </c>
      <c r="C47" s="2">
        <f>DEVSQ(Table60[Newtonsoft (duration)])</f>
        <v>34528.666666666664</v>
      </c>
      <c r="D47" s="2">
        <f>DEVSQ(Table60[Revenj.NET full (duration)])</f>
        <v>2164688.666666667</v>
      </c>
      <c r="E47" s="2">
        <f>DEVSQ(Table60[Revenj.NET minimal (duration)])</f>
        <v>35906</v>
      </c>
      <c r="F47" s="2">
        <f>DEVSQ(Table60[Jackson (duration)])</f>
        <v>139892.66666666669</v>
      </c>
      <c r="G47" s="2">
        <f>DEVSQ(Table60[DSL client Java full (duration)])</f>
        <v>1468.6666666666665</v>
      </c>
      <c r="H47" s="2">
        <f>DEVSQ(Table60[DSL client Java minimal (duration)])</f>
        <v>160.66666666666666</v>
      </c>
      <c r="I47" s="2">
        <f>DEVSQ(Table60[Protobuf.NET (duration)])</f>
        <v>1046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6406</v>
      </c>
      <c r="C52">
        <v>195941225</v>
      </c>
      <c r="D52">
        <v>2812</v>
      </c>
      <c r="E52">
        <v>243056893</v>
      </c>
      <c r="F52">
        <v>2689</v>
      </c>
      <c r="G52">
        <v>198474556</v>
      </c>
      <c r="H52">
        <v>2023</v>
      </c>
      <c r="I52">
        <v>194475967</v>
      </c>
      <c r="J52">
        <v>1035</v>
      </c>
      <c r="K52">
        <v>239056893</v>
      </c>
      <c r="L52">
        <v>979</v>
      </c>
      <c r="M52">
        <v>194474556</v>
      </c>
      <c r="N52">
        <v>1253</v>
      </c>
      <c r="O52">
        <v>79244720</v>
      </c>
    </row>
    <row r="53" spans="2:15" x14ac:dyDescent="0.25">
      <c r="B53">
        <v>6408</v>
      </c>
      <c r="C53">
        <v>195941225</v>
      </c>
      <c r="D53">
        <v>2807</v>
      </c>
      <c r="E53">
        <v>243056893</v>
      </c>
      <c r="F53">
        <v>2673</v>
      </c>
      <c r="G53">
        <v>198474556</v>
      </c>
      <c r="H53">
        <v>2026</v>
      </c>
      <c r="I53">
        <v>194475967</v>
      </c>
      <c r="J53">
        <v>1018</v>
      </c>
      <c r="K53">
        <v>239056893</v>
      </c>
      <c r="L53">
        <v>1010</v>
      </c>
      <c r="M53">
        <v>194474556</v>
      </c>
      <c r="N53">
        <v>1254</v>
      </c>
      <c r="O53">
        <v>79244720</v>
      </c>
    </row>
    <row r="54" spans="2:15" x14ac:dyDescent="0.25">
      <c r="B54">
        <v>6343</v>
      </c>
      <c r="C54">
        <v>195941225</v>
      </c>
      <c r="D54">
        <v>2842</v>
      </c>
      <c r="E54">
        <v>243056893</v>
      </c>
      <c r="F54">
        <v>2660</v>
      </c>
      <c r="G54">
        <v>198474556</v>
      </c>
      <c r="H54">
        <v>1932</v>
      </c>
      <c r="I54">
        <v>194475967</v>
      </c>
      <c r="J54">
        <v>1020</v>
      </c>
      <c r="K54">
        <v>239056893</v>
      </c>
      <c r="L54">
        <v>999</v>
      </c>
      <c r="M54">
        <v>194474556</v>
      </c>
      <c r="N54">
        <v>1255</v>
      </c>
      <c r="O54">
        <v>79244720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18760</v>
      </c>
      <c r="C58">
        <v>11884</v>
      </c>
      <c r="D58">
        <v>11098</v>
      </c>
      <c r="E58">
        <v>7342</v>
      </c>
      <c r="F58">
        <v>2083</v>
      </c>
      <c r="G58">
        <v>1976</v>
      </c>
      <c r="H58">
        <v>3418</v>
      </c>
      <c r="I58">
        <v>186</v>
      </c>
      <c r="J58">
        <v>275</v>
      </c>
    </row>
    <row r="59" spans="2:15" x14ac:dyDescent="0.25">
      <c r="B59">
        <v>18501</v>
      </c>
      <c r="C59">
        <v>11621</v>
      </c>
      <c r="D59">
        <v>11000</v>
      </c>
      <c r="E59">
        <v>7149</v>
      </c>
      <c r="F59">
        <v>2052</v>
      </c>
      <c r="G59">
        <v>1977</v>
      </c>
      <c r="H59">
        <v>3461</v>
      </c>
      <c r="I59">
        <v>185</v>
      </c>
      <c r="J59">
        <v>283</v>
      </c>
    </row>
    <row r="60" spans="2:15" x14ac:dyDescent="0.25">
      <c r="B60">
        <v>18669</v>
      </c>
      <c r="C60">
        <v>13540</v>
      </c>
      <c r="D60">
        <v>10833</v>
      </c>
      <c r="E60">
        <v>7672</v>
      </c>
      <c r="F60">
        <v>2106</v>
      </c>
      <c r="G60">
        <v>1992</v>
      </c>
      <c r="H60">
        <v>3453</v>
      </c>
      <c r="I60">
        <v>186</v>
      </c>
      <c r="J60">
        <v>269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45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AVERAGE(Table63[Newtonsoft (duration)]) - J38</f>
        <v>8257.6666666666679</v>
      </c>
      <c r="D38" s="2">
        <f>AVERAGE(Table63[Revenj.NET full (duration)]) - J38</f>
        <v>1326.6666666666665</v>
      </c>
      <c r="E38" s="2">
        <f>AVERAGE(Table63[Revenj.NET minimal (duration)]) - J38</f>
        <v>1300</v>
      </c>
      <c r="F38" s="2">
        <f>AVERAGE(Table63[Jackson (duration)]) - J39</f>
        <v>845</v>
      </c>
      <c r="G38" s="2">
        <f>AVERAGE(Table63[DSL client Java full (duration)]) - J39</f>
        <v>490.66666666666669</v>
      </c>
      <c r="H38" s="2">
        <f>AVERAGE(Table63[DSL client Java minimal (duration)]) - J39</f>
        <v>470.66666666666669</v>
      </c>
      <c r="I38" s="2">
        <f>AVERAGE(Table63[Protobuf.NET (duration)]) - J38</f>
        <v>419.99999999999994</v>
      </c>
      <c r="J38" s="2">
        <f>AVERAGE(Table64[.NET (instance only)])</f>
        <v>388.66666666666669</v>
      </c>
      <c r="K38" s="2">
        <f>AVERAGE(Table64[JVM (instance only)])</f>
        <v>225.66666666666666</v>
      </c>
    </row>
    <row r="39" spans="2:11" x14ac:dyDescent="0.25">
      <c r="B39" t="s">
        <v>3</v>
      </c>
      <c r="C39" s="2">
        <f>C40-C38</f>
        <v>11265.333333333332</v>
      </c>
      <c r="D39" s="2">
        <f t="shared" ref="D39:I39" si="0">D40-D38</f>
        <v>2030.666666666667</v>
      </c>
      <c r="E39" s="2">
        <f t="shared" si="0"/>
        <v>1853</v>
      </c>
      <c r="F39" s="2">
        <f t="shared" ref="F39:H39" si="1">F40-F38</f>
        <v>1987</v>
      </c>
      <c r="G39" s="2">
        <f t="shared" si="1"/>
        <v>335.99999999999994</v>
      </c>
      <c r="H39" s="2">
        <f t="shared" si="1"/>
        <v>321.99999999999994</v>
      </c>
      <c r="I39" s="2">
        <f t="shared" si="0"/>
        <v>1014.3333333333333</v>
      </c>
      <c r="J39" s="2"/>
      <c r="K39" s="2"/>
    </row>
    <row r="40" spans="2:11" x14ac:dyDescent="0.25">
      <c r="B40" t="s">
        <v>1</v>
      </c>
      <c r="C40" s="2">
        <f>AVERAGE(Table64[Newtonsoft (duration)]) - J38</f>
        <v>19523</v>
      </c>
      <c r="D40" s="2">
        <f>AVERAGE(Table64[Revenj.NET full (duration)]) - J38</f>
        <v>3357.3333333333335</v>
      </c>
      <c r="E40" s="2">
        <f>AVERAGE(Table64[Revenj.NET minimal (duration)]) - J38</f>
        <v>3153</v>
      </c>
      <c r="F40" s="2">
        <f>AVERAGE(Table64[Jackson (duration)]) - J39</f>
        <v>2832</v>
      </c>
      <c r="G40" s="2">
        <f>AVERAGE(Table64[DSL client Java full (duration)]) - J39</f>
        <v>826.66666666666663</v>
      </c>
      <c r="H40" s="2">
        <f>AVERAGE(Table64[DSL client Java minimal (duration)]) - J39</f>
        <v>792.66666666666663</v>
      </c>
      <c r="I40" s="2">
        <f>AVERAGE(Table64[Protobuf.NET (duration)]) - J38</f>
        <v>1434.3333333333333</v>
      </c>
      <c r="J40" s="2"/>
      <c r="K40" s="2"/>
    </row>
    <row r="41" spans="2:11" x14ac:dyDescent="0.25">
      <c r="B41" t="s">
        <v>8</v>
      </c>
      <c r="C41" s="3">
        <f>AVERAGE(Table63[Newtonsoft (size)])</f>
        <v>102468634.33333333</v>
      </c>
      <c r="D41" s="3">
        <f>AVERAGE(Table63[Revenj.NET full (size)])</f>
        <v>100940816.33333333</v>
      </c>
      <c r="E41" s="3">
        <f>AVERAGE(Table63[Revenj.NET minimal (size)])</f>
        <v>95022191</v>
      </c>
      <c r="F41" s="3">
        <f>AVERAGE(Table63[Jackson (size)])</f>
        <v>93002715.333333328</v>
      </c>
      <c r="G41" s="3">
        <f>AVERAGE(Table63[DSL client Java full (size)])</f>
        <v>98537783</v>
      </c>
      <c r="H41" s="3">
        <f>AVERAGE(Table63[DSL client Java minimal (size)])</f>
        <v>87103346.666666672</v>
      </c>
      <c r="I41" s="3">
        <f>AVERAGE(Table63[Protobuf.NET (size)])</f>
        <v>46953567.333333336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DEVSQ(Table63[Newtonsoft (duration)])</f>
        <v>704.66666666666674</v>
      </c>
      <c r="D46" s="2">
        <f>DEVSQ(Table63[Revenj.NET full (duration)])</f>
        <v>88.666666666666657</v>
      </c>
      <c r="E46" s="2">
        <f>DEVSQ(Table63[Revenj.NET minimal (duration)])</f>
        <v>8.6666666666666679</v>
      </c>
      <c r="F46" s="2">
        <f>DEVSQ(Table63[Jackson (duration)])</f>
        <v>62</v>
      </c>
      <c r="G46" s="2">
        <f>DEVSQ(Table63[DSL client Java full (duration)])</f>
        <v>1602.666666666667</v>
      </c>
      <c r="H46" s="2">
        <f>DEVSQ(Table63[DSL client Java minimal (duration)])</f>
        <v>1504.6666666666667</v>
      </c>
      <c r="I46" s="2">
        <f>DEVSQ(Table63[Protobuf.NET (duration)])</f>
        <v>834.66666666666652</v>
      </c>
    </row>
    <row r="47" spans="2:11" x14ac:dyDescent="0.25">
      <c r="B47" t="s">
        <v>1</v>
      </c>
      <c r="C47" s="2">
        <f>DEVSQ(Table64[Newtonsoft (duration)])</f>
        <v>3584.666666666667</v>
      </c>
      <c r="D47" s="2">
        <f>DEVSQ(Table64[Revenj.NET full (duration)])</f>
        <v>68712</v>
      </c>
      <c r="E47" s="2">
        <f>DEVSQ(Table64[Revenj.NET minimal (duration)])</f>
        <v>20.666666666666664</v>
      </c>
      <c r="F47" s="2">
        <f>DEVSQ(Table64[Jackson (duration)])</f>
        <v>28262</v>
      </c>
      <c r="G47" s="2">
        <f>DEVSQ(Table64[DSL client Java full (duration)])</f>
        <v>744.66666666666674</v>
      </c>
      <c r="H47" s="2">
        <f>DEVSQ(Table64[DSL client Java minimal (duration)])</f>
        <v>514.66666666666663</v>
      </c>
      <c r="I47" s="2">
        <f>DEVSQ(Table64[Protobuf.NET (duration)])</f>
        <v>158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8663</v>
      </c>
      <c r="C52">
        <v>102469128</v>
      </c>
      <c r="D52">
        <v>1717</v>
      </c>
      <c r="E52">
        <v>100940626</v>
      </c>
      <c r="F52">
        <v>1687</v>
      </c>
      <c r="G52">
        <v>95022361</v>
      </c>
      <c r="H52">
        <v>850</v>
      </c>
      <c r="I52">
        <v>93002714</v>
      </c>
      <c r="J52">
        <v>458</v>
      </c>
      <c r="K52">
        <v>98541303</v>
      </c>
      <c r="L52">
        <v>502</v>
      </c>
      <c r="M52">
        <v>87102760</v>
      </c>
      <c r="N52">
        <v>832</v>
      </c>
      <c r="O52">
        <v>46953483</v>
      </c>
    </row>
    <row r="53" spans="2:15" x14ac:dyDescent="0.25">
      <c r="B53">
        <v>8626</v>
      </c>
      <c r="C53">
        <v>102468134</v>
      </c>
      <c r="D53">
        <v>1708</v>
      </c>
      <c r="E53">
        <v>100941002</v>
      </c>
      <c r="F53">
        <v>1688</v>
      </c>
      <c r="G53">
        <v>95022440</v>
      </c>
      <c r="H53">
        <v>839</v>
      </c>
      <c r="I53">
        <v>93002716</v>
      </c>
      <c r="J53">
        <v>506</v>
      </c>
      <c r="K53">
        <v>98535143</v>
      </c>
      <c r="L53">
        <v>459</v>
      </c>
      <c r="M53">
        <v>87106720</v>
      </c>
      <c r="N53">
        <v>800</v>
      </c>
      <c r="O53">
        <v>46953692</v>
      </c>
    </row>
    <row r="54" spans="2:15" x14ac:dyDescent="0.25">
      <c r="B54">
        <v>8650</v>
      </c>
      <c r="C54">
        <v>102468641</v>
      </c>
      <c r="D54">
        <v>1721</v>
      </c>
      <c r="E54">
        <v>100940821</v>
      </c>
      <c r="F54">
        <v>1691</v>
      </c>
      <c r="G54">
        <v>95021772</v>
      </c>
      <c r="H54">
        <v>846</v>
      </c>
      <c r="I54">
        <v>93002716</v>
      </c>
      <c r="J54">
        <v>508</v>
      </c>
      <c r="K54">
        <v>98536903</v>
      </c>
      <c r="L54">
        <v>451</v>
      </c>
      <c r="M54">
        <v>87100560</v>
      </c>
      <c r="N54">
        <v>794</v>
      </c>
      <c r="O54">
        <v>46953527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19958</v>
      </c>
      <c r="C58">
        <v>3636</v>
      </c>
      <c r="D58">
        <v>3538</v>
      </c>
      <c r="E58">
        <v>2933</v>
      </c>
      <c r="F58">
        <v>805</v>
      </c>
      <c r="G58">
        <v>808</v>
      </c>
      <c r="H58">
        <v>1820</v>
      </c>
      <c r="I58">
        <v>393</v>
      </c>
      <c r="J58">
        <v>223</v>
      </c>
    </row>
    <row r="59" spans="2:15" x14ac:dyDescent="0.25">
      <c r="B59">
        <v>19875</v>
      </c>
      <c r="C59">
        <v>3642</v>
      </c>
      <c r="D59">
        <v>3543</v>
      </c>
      <c r="E59">
        <v>2701</v>
      </c>
      <c r="F59">
        <v>833</v>
      </c>
      <c r="G59">
        <v>776</v>
      </c>
      <c r="H59">
        <v>1816</v>
      </c>
      <c r="I59">
        <v>387</v>
      </c>
      <c r="J59">
        <v>228</v>
      </c>
    </row>
    <row r="60" spans="2:15" x14ac:dyDescent="0.25">
      <c r="B60">
        <v>19902</v>
      </c>
      <c r="C60">
        <v>3960</v>
      </c>
      <c r="D60">
        <v>3544</v>
      </c>
      <c r="E60">
        <v>2862</v>
      </c>
      <c r="F60">
        <v>842</v>
      </c>
      <c r="G60">
        <v>794</v>
      </c>
      <c r="H60">
        <v>1833</v>
      </c>
      <c r="I60">
        <v>386</v>
      </c>
      <c r="J60">
        <v>226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46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AVERAGE(Table67[Newtonsoft (duration)]) - J38</f>
        <v>82676.666666666672</v>
      </c>
      <c r="D38" s="2">
        <f>AVERAGE(Table67[Revenj.NET full (duration)]) - J38</f>
        <v>13845.333333333334</v>
      </c>
      <c r="E38" s="2">
        <f>AVERAGE(Table67[Revenj.NET minimal (duration)]) - J38</f>
        <v>13590.666666666666</v>
      </c>
      <c r="F38" s="2">
        <f>AVERAGE(Table67[Jackson (duration)]) - J39</f>
        <v>7081.333333333333</v>
      </c>
      <c r="G38" s="2">
        <f>AVERAGE(Table67[DSL client Java full (duration)]) - J39</f>
        <v>3417.6666666666665</v>
      </c>
      <c r="H38" s="2">
        <f>AVERAGE(Table67[DSL client Java minimal (duration)]) - J39</f>
        <v>3368.6666666666665</v>
      </c>
      <c r="I38" s="2">
        <f>AVERAGE(Table67[Protobuf.NET (duration)]) - J38</f>
        <v>4093.9999999999995</v>
      </c>
      <c r="J38" s="2">
        <f>AVERAGE(Table68[.NET (instance only)])</f>
        <v>3937.3333333333335</v>
      </c>
      <c r="K38" s="2">
        <f>AVERAGE(Table68[JVM (instance only)])</f>
        <v>1355.6666666666667</v>
      </c>
    </row>
    <row r="39" spans="2:11" x14ac:dyDescent="0.25">
      <c r="B39" t="s">
        <v>3</v>
      </c>
      <c r="C39" s="2">
        <f>C40-C38</f>
        <v>113452.33333333333</v>
      </c>
      <c r="D39" s="2">
        <f t="shared" ref="D39:I39" si="0">D40-D38</f>
        <v>19373.666666666664</v>
      </c>
      <c r="E39" s="2">
        <f t="shared" si="0"/>
        <v>18592.666666666664</v>
      </c>
      <c r="F39" s="2">
        <f t="shared" ref="F39:H39" si="1">F40-F38</f>
        <v>19123.666666666668</v>
      </c>
      <c r="G39" s="2">
        <f t="shared" si="1"/>
        <v>2526.6666666666665</v>
      </c>
      <c r="H39" s="2">
        <f t="shared" si="1"/>
        <v>2237.0000000000005</v>
      </c>
      <c r="I39" s="2">
        <f t="shared" si="0"/>
        <v>10573.999999999998</v>
      </c>
      <c r="J39" s="2"/>
      <c r="K39" s="2"/>
    </row>
    <row r="40" spans="2:11" x14ac:dyDescent="0.25">
      <c r="B40" t="s">
        <v>1</v>
      </c>
      <c r="C40" s="2">
        <f>AVERAGE(Table68[Newtonsoft (duration)]) - J38</f>
        <v>196129</v>
      </c>
      <c r="D40" s="2">
        <f>AVERAGE(Table68[Revenj.NET full (duration)]) - J38</f>
        <v>33219</v>
      </c>
      <c r="E40" s="2">
        <f>AVERAGE(Table68[Revenj.NET minimal (duration)]) - J38</f>
        <v>32183.333333333332</v>
      </c>
      <c r="F40" s="2">
        <f>AVERAGE(Table68[Jackson (duration)]) - J39</f>
        <v>26205</v>
      </c>
      <c r="G40" s="2">
        <f>AVERAGE(Table68[DSL client Java full (duration)]) - J39</f>
        <v>5944.333333333333</v>
      </c>
      <c r="H40" s="2">
        <f>AVERAGE(Table68[DSL client Java minimal (duration)]) - J39</f>
        <v>5605.666666666667</v>
      </c>
      <c r="I40" s="2">
        <f>AVERAGE(Table68[Protobuf.NET (duration)]) - J38</f>
        <v>14667.999999999998</v>
      </c>
      <c r="J40" s="2"/>
      <c r="K40" s="2"/>
    </row>
    <row r="41" spans="2:11" x14ac:dyDescent="0.25">
      <c r="B41" t="s">
        <v>8</v>
      </c>
      <c r="C41" s="3">
        <f>AVERAGE(Table67[Newtonsoft (size)])</f>
        <v>1039440938.3333334</v>
      </c>
      <c r="D41" s="3">
        <f>AVERAGE(Table67[Revenj.NET full (size)])</f>
        <v>1024742877</v>
      </c>
      <c r="E41" s="3">
        <f>AVERAGE(Table67[Revenj.NET minimal (size)])</f>
        <v>965555635.33333337</v>
      </c>
      <c r="F41" s="3">
        <f>AVERAGE(Table67[Jackson (size)])</f>
        <v>940324284</v>
      </c>
      <c r="G41" s="3">
        <f>AVERAGE(Table67[DSL client Java full (size)])</f>
        <v>995649405.33333337</v>
      </c>
      <c r="H41" s="3">
        <f>AVERAGE(Table67[DSL client Java minimal (size)])</f>
        <v>881330602.33333337</v>
      </c>
      <c r="I41" s="3">
        <f>AVERAGE(Table67[Protobuf.NET (size)])</f>
        <v>479746767.66666669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DEVSQ(Table67[Newtonsoft (duration)])</f>
        <v>376562</v>
      </c>
      <c r="D46" s="2">
        <f>DEVSQ(Table67[Revenj.NET full (duration)])</f>
        <v>95474.666666666657</v>
      </c>
      <c r="E46" s="2">
        <f>DEVSQ(Table67[Revenj.NET minimal (duration)])</f>
        <v>3338</v>
      </c>
      <c r="F46" s="2">
        <f>DEVSQ(Table67[Jackson (duration)])</f>
        <v>200812.66666666669</v>
      </c>
      <c r="G46" s="2">
        <f>DEVSQ(Table67[DSL client Java full (duration)])</f>
        <v>12722.666666666666</v>
      </c>
      <c r="H46" s="2">
        <f>DEVSQ(Table67[DSL client Java minimal (duration)])</f>
        <v>3090.666666666667</v>
      </c>
      <c r="I46" s="2">
        <f>DEVSQ(Table67[Protobuf.NET (duration)])</f>
        <v>72580.666666666672</v>
      </c>
    </row>
    <row r="47" spans="2:11" x14ac:dyDescent="0.25">
      <c r="B47" t="s">
        <v>1</v>
      </c>
      <c r="C47" s="2">
        <f>DEVSQ(Table68[Newtonsoft (duration)])</f>
        <v>1410604.6666666665</v>
      </c>
      <c r="D47" s="2">
        <f>DEVSQ(Table68[Revenj.NET full (duration)])</f>
        <v>5704.6666666666661</v>
      </c>
      <c r="E47" s="2">
        <f>DEVSQ(Table68[Revenj.NET minimal (duration)])</f>
        <v>15410.666666666668</v>
      </c>
      <c r="F47" s="2">
        <f>DEVSQ(Table68[Jackson (duration)])</f>
        <v>521066</v>
      </c>
      <c r="G47" s="2">
        <f>DEVSQ(Table68[DSL client Java full (duration)])</f>
        <v>8434.6666666666679</v>
      </c>
      <c r="H47" s="2">
        <f>DEVSQ(Table68[DSL client Java minimal (duration)])</f>
        <v>2124.6666666666665</v>
      </c>
      <c r="I47" s="2">
        <f>DEVSQ(Table68[Protobuf.NET (duration)])</f>
        <v>181962.66666666669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86358</v>
      </c>
      <c r="C52">
        <v>1040018129</v>
      </c>
      <c r="D52">
        <v>17676</v>
      </c>
      <c r="E52">
        <v>1024742047</v>
      </c>
      <c r="F52">
        <v>17501</v>
      </c>
      <c r="G52">
        <v>965556003</v>
      </c>
      <c r="H52">
        <v>7099</v>
      </c>
      <c r="I52">
        <v>940324284</v>
      </c>
      <c r="J52">
        <v>3503</v>
      </c>
      <c r="K52">
        <v>995639872</v>
      </c>
      <c r="L52">
        <v>3398</v>
      </c>
      <c r="M52">
        <v>881307869</v>
      </c>
      <c r="N52">
        <v>8249</v>
      </c>
      <c r="O52">
        <v>479747074</v>
      </c>
    </row>
    <row r="53" spans="2:15" x14ac:dyDescent="0.25">
      <c r="B53">
        <v>87115</v>
      </c>
      <c r="C53">
        <v>1040021006</v>
      </c>
      <c r="D53">
        <v>17638</v>
      </c>
      <c r="E53">
        <v>1024745043</v>
      </c>
      <c r="F53">
        <v>17508</v>
      </c>
      <c r="G53">
        <v>965554537</v>
      </c>
      <c r="H53">
        <v>6756</v>
      </c>
      <c r="I53">
        <v>940324284</v>
      </c>
      <c r="J53">
        <v>3345</v>
      </c>
      <c r="K53">
        <v>995664072</v>
      </c>
      <c r="L53">
        <v>3324</v>
      </c>
      <c r="M53">
        <v>881367269</v>
      </c>
      <c r="N53">
        <v>7950</v>
      </c>
      <c r="O53">
        <v>479745156</v>
      </c>
    </row>
    <row r="54" spans="2:15" x14ac:dyDescent="0.25">
      <c r="B54">
        <v>86369</v>
      </c>
      <c r="C54">
        <v>1038283680</v>
      </c>
      <c r="D54">
        <v>18034</v>
      </c>
      <c r="E54">
        <v>1024741541</v>
      </c>
      <c r="F54">
        <v>17575</v>
      </c>
      <c r="G54">
        <v>965556366</v>
      </c>
      <c r="H54">
        <v>7389</v>
      </c>
      <c r="I54">
        <v>940324284</v>
      </c>
      <c r="J54">
        <v>3405</v>
      </c>
      <c r="K54">
        <v>995644272</v>
      </c>
      <c r="L54">
        <v>3384</v>
      </c>
      <c r="M54">
        <v>881316669</v>
      </c>
      <c r="N54">
        <v>7895</v>
      </c>
      <c r="O54">
        <v>479748073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199118</v>
      </c>
      <c r="C58">
        <v>37125</v>
      </c>
      <c r="D58">
        <v>36222</v>
      </c>
      <c r="E58">
        <v>26692</v>
      </c>
      <c r="F58">
        <v>5901</v>
      </c>
      <c r="G58">
        <v>5642</v>
      </c>
      <c r="H58">
        <v>18488</v>
      </c>
      <c r="I58">
        <v>3950</v>
      </c>
      <c r="J58">
        <v>1384</v>
      </c>
    </row>
    <row r="59" spans="2:15" x14ac:dyDescent="0.25">
      <c r="B59">
        <v>200716</v>
      </c>
      <c r="C59">
        <v>37218</v>
      </c>
      <c r="D59">
        <v>36068</v>
      </c>
      <c r="E59">
        <v>26249</v>
      </c>
      <c r="F59">
        <v>6019</v>
      </c>
      <c r="G59">
        <v>5596</v>
      </c>
      <c r="H59">
        <v>18948</v>
      </c>
      <c r="I59">
        <v>3922</v>
      </c>
      <c r="J59">
        <v>1373</v>
      </c>
    </row>
    <row r="60" spans="2:15" x14ac:dyDescent="0.25">
      <c r="B60">
        <v>200365</v>
      </c>
      <c r="C60">
        <v>37126</v>
      </c>
      <c r="D60">
        <v>36072</v>
      </c>
      <c r="E60">
        <v>25674</v>
      </c>
      <c r="F60">
        <v>5913</v>
      </c>
      <c r="G60">
        <v>5579</v>
      </c>
      <c r="H60">
        <v>18380</v>
      </c>
      <c r="I60">
        <v>3940</v>
      </c>
      <c r="J60">
        <v>1310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47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AVERAGE(Table71[Newtonsoft (duration)]) - J38</f>
        <v>828250</v>
      </c>
      <c r="D38" s="2">
        <f>AVERAGE(Table71[Revenj.NET full (duration)]) - J38</f>
        <v>141102.33333333334</v>
      </c>
      <c r="E38" s="2">
        <f>AVERAGE(Table71[Revenj.NET minimal (duration)]) - J38</f>
        <v>139427.66666666669</v>
      </c>
      <c r="F38" s="2">
        <f>AVERAGE(Table71[Jackson (duration)]) - J39</f>
        <v>67727</v>
      </c>
      <c r="G38" s="2">
        <f>AVERAGE(Table71[DSL client Java full (duration)]) - J39</f>
        <v>34689.333333333336</v>
      </c>
      <c r="H38" s="2">
        <f>AVERAGE(Table71[DSL client Java minimal (duration)]) - J39</f>
        <v>34225.333333333336</v>
      </c>
      <c r="I38" s="2">
        <f>AVERAGE(Table71[Protobuf.NET (duration)]) - J38</f>
        <v>39264.333333333336</v>
      </c>
      <c r="J38" s="2">
        <f>AVERAGE(Table72[.NET (instance only)])</f>
        <v>40190.666666666664</v>
      </c>
      <c r="K38" s="2">
        <f>AVERAGE(Table72[JVM (instance only)])</f>
        <v>12746.333333333334</v>
      </c>
    </row>
    <row r="39" spans="2:11" x14ac:dyDescent="0.25">
      <c r="B39" t="s">
        <v>3</v>
      </c>
      <c r="C39" s="2">
        <f>C40-C38</f>
        <v>1126221.6666666665</v>
      </c>
      <c r="D39" s="2">
        <f t="shared" ref="D39:I39" si="0">D40-D38</f>
        <v>206891.99999999997</v>
      </c>
      <c r="E39" s="2">
        <f t="shared" si="0"/>
        <v>189385.99999999994</v>
      </c>
      <c r="F39" s="2">
        <f t="shared" ref="F39:H39" si="1">F40-F38</f>
        <v>187946</v>
      </c>
      <c r="G39" s="2">
        <f t="shared" si="1"/>
        <v>23408.666666666664</v>
      </c>
      <c r="H39" s="2">
        <f t="shared" si="1"/>
        <v>21572</v>
      </c>
      <c r="I39" s="2">
        <f t="shared" si="0"/>
        <v>107963.33333333334</v>
      </c>
      <c r="J39" s="2"/>
      <c r="K39" s="2"/>
    </row>
    <row r="40" spans="2:11" x14ac:dyDescent="0.25">
      <c r="B40" t="s">
        <v>1</v>
      </c>
      <c r="C40" s="2">
        <f>AVERAGE(Table72[Newtonsoft (duration)]) - J38</f>
        <v>1954471.6666666665</v>
      </c>
      <c r="D40" s="2">
        <f>AVERAGE(Table72[Revenj.NET full (duration)]) - J38</f>
        <v>347994.33333333331</v>
      </c>
      <c r="E40" s="2">
        <f>AVERAGE(Table72[Revenj.NET minimal (duration)]) - J38</f>
        <v>328813.66666666663</v>
      </c>
      <c r="F40" s="2">
        <f>AVERAGE(Table72[Jackson (duration)]) - J39</f>
        <v>255673</v>
      </c>
      <c r="G40" s="2">
        <f>AVERAGE(Table72[DSL client Java full (duration)]) - J39</f>
        <v>58098</v>
      </c>
      <c r="H40" s="2">
        <f>AVERAGE(Table72[DSL client Java minimal (duration)]) - J39</f>
        <v>55797.333333333336</v>
      </c>
      <c r="I40" s="2">
        <f>AVERAGE(Table72[Protobuf.NET (duration)]) - J38</f>
        <v>147227.66666666669</v>
      </c>
      <c r="J40" s="2"/>
      <c r="K40" s="2"/>
    </row>
    <row r="41" spans="2:11" x14ac:dyDescent="0.25">
      <c r="B41" t="s">
        <v>8</v>
      </c>
      <c r="C41" s="3">
        <f>AVERAGE(Table71[Newtonsoft (size)])</f>
        <v>10553345412.666666</v>
      </c>
      <c r="D41" s="3">
        <f>AVERAGE(Table71[Revenj.NET full (size)])</f>
        <v>10400554421.333334</v>
      </c>
      <c r="E41" s="3">
        <f>AVERAGE(Table71[Revenj.NET minimal (size)])</f>
        <v>9808672205.333334</v>
      </c>
      <c r="F41" s="3">
        <f>AVERAGE(Table71[Jackson (size)])</f>
        <v>9506224120</v>
      </c>
      <c r="G41" s="3">
        <f>AVERAGE(Table71[DSL client Java full (size)])</f>
        <v>10059776102</v>
      </c>
      <c r="H41" s="3">
        <f>AVERAGE(Table71[DSL client Java minimal (size)])</f>
        <v>8916332032.333334</v>
      </c>
      <c r="I41" s="3">
        <f>AVERAGE(Table71[Protobuf.NET (size)])</f>
        <v>4898891799.333333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DEVSQ(Table71[Newtonsoft (duration)])</f>
        <v>11747208.666666668</v>
      </c>
      <c r="D46" s="2">
        <f>DEVSQ(Table71[Revenj.NET full (duration)])</f>
        <v>570456</v>
      </c>
      <c r="E46" s="2">
        <f>DEVSQ(Table71[Revenj.NET minimal (duration)])</f>
        <v>87298.666666666657</v>
      </c>
      <c r="F46" s="2">
        <f>DEVSQ(Table71[Jackson (duration)])</f>
        <v>10277258</v>
      </c>
      <c r="G46" s="2">
        <f>DEVSQ(Table71[DSL client Java full (duration)])</f>
        <v>206812.66666666666</v>
      </c>
      <c r="H46" s="2">
        <f>DEVSQ(Table71[DSL client Java minimal (duration)])</f>
        <v>107010.66666666666</v>
      </c>
      <c r="I46" s="2">
        <f>DEVSQ(Table71[Protobuf.NET (duration)])</f>
        <v>20202</v>
      </c>
    </row>
    <row r="47" spans="2:11" x14ac:dyDescent="0.25">
      <c r="B47" t="s">
        <v>1</v>
      </c>
      <c r="C47" s="2">
        <f>DEVSQ(Table72[Newtonsoft (duration)])</f>
        <v>172531092.66666669</v>
      </c>
      <c r="D47" s="2">
        <f>DEVSQ(Table72[Revenj.NET full (duration)])</f>
        <v>736420398</v>
      </c>
      <c r="E47" s="2">
        <f>DEVSQ(Table72[Revenj.NET minimal (duration)])</f>
        <v>11169720.666666666</v>
      </c>
      <c r="F47" s="2">
        <f>DEVSQ(Table72[Jackson (duration)])</f>
        <v>38947802</v>
      </c>
      <c r="G47" s="2">
        <f>DEVSQ(Table72[DSL client Java full (duration)])</f>
        <v>82034</v>
      </c>
      <c r="H47" s="2">
        <f>DEVSQ(Table72[DSL client Java minimal (duration)])</f>
        <v>600316.66666666674</v>
      </c>
      <c r="I47" s="2">
        <f>DEVSQ(Table72[Protobuf.NET (duration)])</f>
        <v>10994680.666666666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866724</v>
      </c>
      <c r="C52">
        <v>10553341299</v>
      </c>
      <c r="D52">
        <v>181359</v>
      </c>
      <c r="E52">
        <v>10400555467</v>
      </c>
      <c r="F52">
        <v>179641</v>
      </c>
      <c r="G52">
        <v>9808695298</v>
      </c>
      <c r="H52">
        <v>67539</v>
      </c>
      <c r="I52">
        <v>9506224120</v>
      </c>
      <c r="J52">
        <v>34485</v>
      </c>
      <c r="K52">
        <v>10059556102</v>
      </c>
      <c r="L52">
        <v>34478</v>
      </c>
      <c r="M52">
        <v>8916148699</v>
      </c>
      <c r="N52">
        <v>79564</v>
      </c>
      <c r="O52">
        <v>4898878806</v>
      </c>
    </row>
    <row r="53" spans="2:15" x14ac:dyDescent="0.25">
      <c r="B53">
        <v>871213</v>
      </c>
      <c r="C53">
        <v>10553371863</v>
      </c>
      <c r="D53">
        <v>180729</v>
      </c>
      <c r="E53">
        <v>10400530312</v>
      </c>
      <c r="F53">
        <v>179815</v>
      </c>
      <c r="G53">
        <v>9808671286</v>
      </c>
      <c r="H53">
        <v>65560</v>
      </c>
      <c r="I53">
        <v>9506224120</v>
      </c>
      <c r="J53">
        <v>34523</v>
      </c>
      <c r="K53">
        <v>10059908102</v>
      </c>
      <c r="L53">
        <v>34024</v>
      </c>
      <c r="M53">
        <v>8916610699</v>
      </c>
      <c r="N53">
        <v>79435</v>
      </c>
      <c r="O53">
        <v>4898907827</v>
      </c>
    </row>
    <row r="54" spans="2:15" x14ac:dyDescent="0.25">
      <c r="B54">
        <v>867385</v>
      </c>
      <c r="C54">
        <v>10553323076</v>
      </c>
      <c r="D54">
        <v>181791</v>
      </c>
      <c r="E54">
        <v>10400577485</v>
      </c>
      <c r="F54">
        <v>179399</v>
      </c>
      <c r="G54">
        <v>9808650032</v>
      </c>
      <c r="H54">
        <v>70082</v>
      </c>
      <c r="I54">
        <v>9506224120</v>
      </c>
      <c r="J54">
        <v>35060</v>
      </c>
      <c r="K54">
        <v>10059864102</v>
      </c>
      <c r="L54">
        <v>34174</v>
      </c>
      <c r="M54">
        <v>8916236699</v>
      </c>
      <c r="N54">
        <v>79366</v>
      </c>
      <c r="O54">
        <v>4898888765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1996285</v>
      </c>
      <c r="C58">
        <v>377003</v>
      </c>
      <c r="D58">
        <v>371509</v>
      </c>
      <c r="E58">
        <v>250637</v>
      </c>
      <c r="F58">
        <v>57914</v>
      </c>
      <c r="G58">
        <v>56384</v>
      </c>
      <c r="H58">
        <v>188836</v>
      </c>
      <c r="I58">
        <v>40045</v>
      </c>
      <c r="J58">
        <v>12893</v>
      </c>
    </row>
    <row r="59" spans="2:15" x14ac:dyDescent="0.25">
      <c r="B59">
        <v>1984670</v>
      </c>
      <c r="C59">
        <v>377210</v>
      </c>
      <c r="D59">
        <v>368690</v>
      </c>
      <c r="E59">
        <v>257518</v>
      </c>
      <c r="F59">
        <v>58315</v>
      </c>
      <c r="G59">
        <v>55709</v>
      </c>
      <c r="H59">
        <v>188707</v>
      </c>
      <c r="I59">
        <v>39593</v>
      </c>
      <c r="J59">
        <v>12271</v>
      </c>
    </row>
    <row r="60" spans="2:15" x14ac:dyDescent="0.25">
      <c r="B60">
        <v>2003032</v>
      </c>
      <c r="C60">
        <v>410342</v>
      </c>
      <c r="D60">
        <v>366814</v>
      </c>
      <c r="E60">
        <v>258864</v>
      </c>
      <c r="F60">
        <v>58065</v>
      </c>
      <c r="G60">
        <v>55299</v>
      </c>
      <c r="H60">
        <v>184712</v>
      </c>
      <c r="I60">
        <v>40934</v>
      </c>
      <c r="J60">
        <v>13075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48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AVERAGE(Table75[Newtonsoft (duration)]) - J38</f>
        <v>1216.6666666666665</v>
      </c>
      <c r="D38" s="2">
        <f>AVERAGE(Table75[Revenj.NET full (duration)]) - J38</f>
        <v>634.33333333333337</v>
      </c>
      <c r="E38" s="2">
        <f>AVERAGE(Table75[Revenj.NET minimal (duration)]) - J38</f>
        <v>618</v>
      </c>
      <c r="F38" s="2">
        <f>AVERAGE(Table75[Jackson (duration)]) - J39</f>
        <v>795.33333333333337</v>
      </c>
      <c r="G38" s="2">
        <f>AVERAGE(Table75[DSL client Java full (duration)]) - J39</f>
        <v>445.66666666666669</v>
      </c>
      <c r="H38" s="2">
        <f>AVERAGE(Table75[DSL client Java minimal (duration)]) - J39</f>
        <v>425.33333333333331</v>
      </c>
      <c r="I38" s="2">
        <f>AVERAGE(Table75[Protobuf.NET (duration)]) - J38</f>
        <v>289</v>
      </c>
      <c r="J38" s="2">
        <f>AVERAGE(Table76[.NET (instance only)])</f>
        <v>216.66666666666666</v>
      </c>
      <c r="K38" s="2">
        <f>AVERAGE(Table76[JVM (instance only)])</f>
        <v>230</v>
      </c>
    </row>
    <row r="39" spans="2:11" x14ac:dyDescent="0.25">
      <c r="B39" t="s">
        <v>3</v>
      </c>
      <c r="C39" s="2">
        <f>C40-C38</f>
        <v>2152.3333333333335</v>
      </c>
      <c r="D39" s="2">
        <f t="shared" ref="D39:I39" si="0">D40-D38</f>
        <v>2126</v>
      </c>
      <c r="E39" s="2">
        <f t="shared" si="0"/>
        <v>1868.3333333333335</v>
      </c>
      <c r="F39" s="2">
        <f t="shared" ref="F39:H39" si="1">F40-F38</f>
        <v>1171.6666666666665</v>
      </c>
      <c r="G39" s="2">
        <f t="shared" si="1"/>
        <v>164.33333333333331</v>
      </c>
      <c r="H39" s="2">
        <f t="shared" si="1"/>
        <v>164.66666666666669</v>
      </c>
      <c r="I39" s="2">
        <f t="shared" si="0"/>
        <v>489.66666666666674</v>
      </c>
      <c r="J39" s="2"/>
      <c r="K39" s="2"/>
    </row>
    <row r="40" spans="2:11" x14ac:dyDescent="0.25">
      <c r="B40" t="s">
        <v>1</v>
      </c>
      <c r="C40" s="2">
        <f>AVERAGE(Table76[Newtonsoft (duration)]) - J38</f>
        <v>3369</v>
      </c>
      <c r="D40" s="2">
        <f>AVERAGE(Table76[Revenj.NET full (duration)]) - J38</f>
        <v>2760.3333333333335</v>
      </c>
      <c r="E40" s="2">
        <f>AVERAGE(Table76[Revenj.NET minimal (duration)]) - J38</f>
        <v>2486.3333333333335</v>
      </c>
      <c r="F40" s="2">
        <f>AVERAGE(Table76[Jackson (duration)]) - J39</f>
        <v>1967</v>
      </c>
      <c r="G40" s="2">
        <f>AVERAGE(Table76[DSL client Java full (duration)]) - J39</f>
        <v>610</v>
      </c>
      <c r="H40" s="2">
        <f>AVERAGE(Table76[DSL client Java minimal (duration)]) - J39</f>
        <v>590</v>
      </c>
      <c r="I40" s="2">
        <f>AVERAGE(Table76[Protobuf.NET (duration)]) - J38</f>
        <v>778.66666666666674</v>
      </c>
      <c r="J40" s="2"/>
      <c r="K40" s="2"/>
    </row>
    <row r="41" spans="2:11" x14ac:dyDescent="0.25">
      <c r="B41" t="s">
        <v>8</v>
      </c>
      <c r="C41" s="3">
        <f>AVERAGE(Table75[Newtonsoft (size)])</f>
        <v>53635417.333333336</v>
      </c>
      <c r="D41" s="3">
        <f>AVERAGE(Table75[Revenj.NET full (size)])</f>
        <v>53391170</v>
      </c>
      <c r="E41" s="3">
        <f>AVERAGE(Table75[Revenj.NET minimal (size)])</f>
        <v>49693278.333333336</v>
      </c>
      <c r="F41" s="3">
        <f>AVERAGE(Table75[Jackson (size)])</f>
        <v>48374616</v>
      </c>
      <c r="G41" s="3">
        <f>AVERAGE(Table75[DSL client Java full (size)])</f>
        <v>51851336</v>
      </c>
      <c r="H41" s="3">
        <f>AVERAGE(Table75[DSL client Java minimal (size)])</f>
        <v>48317162</v>
      </c>
      <c r="I41" s="3">
        <f>AVERAGE(Table75[Protobuf.NET (size)])</f>
        <v>23146375.333333332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DEVSQ(Table75[Newtonsoft (duration)])</f>
        <v>1208.6666666666667</v>
      </c>
      <c r="D46" s="2">
        <f>DEVSQ(Table75[Revenj.NET full (duration)])</f>
        <v>8</v>
      </c>
      <c r="E46" s="2">
        <f>DEVSQ(Table75[Revenj.NET minimal (duration)])</f>
        <v>104.66666666666669</v>
      </c>
      <c r="F46" s="2">
        <f>DEVSQ(Table75[Jackson (duration)])</f>
        <v>988.66666666666663</v>
      </c>
      <c r="G46" s="2">
        <f>DEVSQ(Table75[DSL client Java full (duration)])</f>
        <v>258.66666666666663</v>
      </c>
      <c r="H46" s="2">
        <f>DEVSQ(Table75[DSL client Java minimal (duration)])</f>
        <v>60.666666666666671</v>
      </c>
      <c r="I46" s="2">
        <f>DEVSQ(Table75[Protobuf.NET (duration)])</f>
        <v>18.666666666666664</v>
      </c>
    </row>
    <row r="47" spans="2:11" x14ac:dyDescent="0.25">
      <c r="B47" t="s">
        <v>1</v>
      </c>
      <c r="C47" s="2">
        <f>DEVSQ(Table76[Newtonsoft (duration)])</f>
        <v>3484.666666666667</v>
      </c>
      <c r="D47" s="2">
        <f>DEVSQ(Table76[Revenj.NET full (duration)])</f>
        <v>260858</v>
      </c>
      <c r="E47" s="2">
        <f>DEVSQ(Table76[Revenj.NET minimal (duration)])</f>
        <v>18</v>
      </c>
      <c r="F47" s="2">
        <f>DEVSQ(Table76[Jackson (duration)])</f>
        <v>62</v>
      </c>
      <c r="G47" s="2">
        <f>DEVSQ(Table76[DSL client Java full (duration)])</f>
        <v>666</v>
      </c>
      <c r="H47" s="2">
        <f>DEVSQ(Table76[DSL client Java minimal (duration)])</f>
        <v>1098</v>
      </c>
      <c r="I47" s="2">
        <f>DEVSQ(Table76[Protobuf.NET (duration)])</f>
        <v>60.666666666666664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1410</v>
      </c>
      <c r="C52">
        <v>53635387</v>
      </c>
      <c r="D52">
        <v>849</v>
      </c>
      <c r="E52">
        <v>53391211</v>
      </c>
      <c r="F52">
        <v>843</v>
      </c>
      <c r="G52">
        <v>49693278</v>
      </c>
      <c r="H52">
        <v>782</v>
      </c>
      <c r="I52">
        <v>48374616</v>
      </c>
      <c r="J52">
        <v>449</v>
      </c>
      <c r="K52">
        <v>52070236</v>
      </c>
      <c r="L52">
        <v>425</v>
      </c>
      <c r="M52">
        <v>48317162</v>
      </c>
      <c r="N52">
        <v>505</v>
      </c>
      <c r="O52">
        <v>23146386</v>
      </c>
    </row>
    <row r="53" spans="2:15" x14ac:dyDescent="0.25">
      <c r="B53">
        <v>1459</v>
      </c>
      <c r="C53">
        <v>53635440</v>
      </c>
      <c r="D53">
        <v>853</v>
      </c>
      <c r="E53">
        <v>53391146</v>
      </c>
      <c r="F53">
        <v>831</v>
      </c>
      <c r="G53">
        <v>49693303</v>
      </c>
      <c r="H53">
        <v>783</v>
      </c>
      <c r="I53">
        <v>48374616</v>
      </c>
      <c r="J53">
        <v>455</v>
      </c>
      <c r="K53">
        <v>52070236</v>
      </c>
      <c r="L53">
        <v>431</v>
      </c>
      <c r="M53">
        <v>48317162</v>
      </c>
      <c r="N53">
        <v>503</v>
      </c>
      <c r="O53">
        <v>23146327</v>
      </c>
    </row>
    <row r="54" spans="2:15" x14ac:dyDescent="0.25">
      <c r="B54">
        <v>1431</v>
      </c>
      <c r="C54">
        <v>53635425</v>
      </c>
      <c r="D54">
        <v>851</v>
      </c>
      <c r="E54">
        <v>53391153</v>
      </c>
      <c r="F54">
        <v>830</v>
      </c>
      <c r="G54">
        <v>49693254</v>
      </c>
      <c r="H54">
        <v>821</v>
      </c>
      <c r="I54">
        <v>48374616</v>
      </c>
      <c r="J54">
        <v>433</v>
      </c>
      <c r="K54">
        <v>51413536</v>
      </c>
      <c r="L54">
        <v>420</v>
      </c>
      <c r="M54">
        <v>48317162</v>
      </c>
      <c r="N54">
        <v>509</v>
      </c>
      <c r="O54">
        <v>23146413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3574</v>
      </c>
      <c r="C58">
        <v>2765</v>
      </c>
      <c r="D58">
        <v>2706</v>
      </c>
      <c r="E58">
        <v>1968</v>
      </c>
      <c r="F58">
        <v>619</v>
      </c>
      <c r="G58">
        <v>575</v>
      </c>
      <c r="H58">
        <v>990</v>
      </c>
      <c r="I58">
        <v>216</v>
      </c>
      <c r="J58">
        <v>236</v>
      </c>
    </row>
    <row r="59" spans="2:15" x14ac:dyDescent="0.25">
      <c r="B59">
        <v>3551</v>
      </c>
      <c r="C59">
        <v>3394</v>
      </c>
      <c r="D59">
        <v>2703</v>
      </c>
      <c r="E59">
        <v>1972</v>
      </c>
      <c r="F59">
        <v>622</v>
      </c>
      <c r="G59">
        <v>617</v>
      </c>
      <c r="H59">
        <v>995</v>
      </c>
      <c r="I59">
        <v>216</v>
      </c>
      <c r="J59">
        <v>225</v>
      </c>
    </row>
    <row r="60" spans="2:15" x14ac:dyDescent="0.25">
      <c r="B60">
        <v>3632</v>
      </c>
      <c r="C60">
        <v>2772</v>
      </c>
      <c r="D60">
        <v>2700</v>
      </c>
      <c r="E60">
        <v>1961</v>
      </c>
      <c r="F60">
        <v>589</v>
      </c>
      <c r="G60">
        <v>578</v>
      </c>
      <c r="H60">
        <v>1001</v>
      </c>
      <c r="I60">
        <v>218</v>
      </c>
      <c r="J60">
        <v>229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workbookViewId="0"/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31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AVERAGE(Serialization[Newtonsoft (duration)]) - J38</f>
        <v>80</v>
      </c>
      <c r="D38" s="2">
        <f>AVERAGE(Serialization[Revenj.NET full (duration)]) - J38</f>
        <v>3</v>
      </c>
      <c r="E38" s="2">
        <f>AVERAGE(Serialization[Revenj.NET minimal (duration)]) - J38</f>
        <v>3</v>
      </c>
      <c r="F38" s="2">
        <f>AVERAGE(Serialization[Jackson (duration)]) - J39</f>
        <v>42.666666666666664</v>
      </c>
      <c r="G38" s="2">
        <f>AVERAGE(Serialization[DSL client Java full (duration)]) - J39</f>
        <v>1.3333333333333333</v>
      </c>
      <c r="H38" s="2">
        <f>AVERAGE(Serialization[DSL client Java minimal (duration)]) - J39</f>
        <v>1.6666666666666667</v>
      </c>
      <c r="I38" s="2">
        <f>AVERAGE(Serialization[Protobuf.NET (duration)]) - J38</f>
        <v>33.333333333333336</v>
      </c>
      <c r="J38" s="2">
        <f>AVERAGE(Both[.NET (instance only)])</f>
        <v>0</v>
      </c>
      <c r="K38" s="2">
        <f>AVERAGE(Both[JVM (instance only)])</f>
        <v>1</v>
      </c>
    </row>
    <row r="39" spans="2:11" x14ac:dyDescent="0.25">
      <c r="B39" t="s">
        <v>3</v>
      </c>
      <c r="C39" s="2">
        <f>C40-C38</f>
        <v>13.666666666666671</v>
      </c>
      <c r="D39" s="2">
        <f t="shared" ref="D39:I39" si="0">D40-D38</f>
        <v>12</v>
      </c>
      <c r="E39" s="2">
        <f t="shared" si="0"/>
        <v>12</v>
      </c>
      <c r="F39" s="2">
        <f t="shared" ref="F39:H39" si="1">F40-F38</f>
        <v>23.333333333333336</v>
      </c>
      <c r="G39" s="2">
        <f t="shared" si="1"/>
        <v>2.666666666666667</v>
      </c>
      <c r="H39" s="2">
        <f t="shared" si="1"/>
        <v>0.66666666666666674</v>
      </c>
      <c r="I39" s="2">
        <f t="shared" si="0"/>
        <v>2.3333333333333286</v>
      </c>
      <c r="J39" s="2"/>
      <c r="K39" s="2"/>
    </row>
    <row r="40" spans="2:11" x14ac:dyDescent="0.25">
      <c r="B40" t="s">
        <v>1</v>
      </c>
      <c r="C40" s="2">
        <f>AVERAGE(Both[Newtonsoft (duration)]) - J38</f>
        <v>93.666666666666671</v>
      </c>
      <c r="D40" s="2">
        <f>AVERAGE(Both[Revenj.NET full (duration)]) - J38</f>
        <v>15</v>
      </c>
      <c r="E40" s="2">
        <f>AVERAGE(Both[Revenj.NET minimal (duration)]) - J38</f>
        <v>15</v>
      </c>
      <c r="F40" s="2">
        <f>AVERAGE(Both[Jackson (duration)]) - J39</f>
        <v>66</v>
      </c>
      <c r="G40" s="2">
        <f>AVERAGE(Both[DSL client Java full (duration)]) - J39</f>
        <v>4</v>
      </c>
      <c r="H40" s="2">
        <f>AVERAGE(Both[DSL client Java minimal (duration)]) - J39</f>
        <v>2.3333333333333335</v>
      </c>
      <c r="I40" s="2">
        <f>AVERAGE(Both[Protobuf.NET (duration)]) - J38</f>
        <v>35.666666666666664</v>
      </c>
      <c r="J40" s="2"/>
      <c r="K40" s="2"/>
    </row>
    <row r="41" spans="2:11" x14ac:dyDescent="0.25">
      <c r="B41" t="s">
        <v>8</v>
      </c>
      <c r="C41" s="3">
        <f>AVERAGE(Serialization[Newtonsoft (size)])</f>
        <v>28</v>
      </c>
      <c r="D41" s="3">
        <f>AVERAGE(Serialization[Revenj.NET full (size)])</f>
        <v>40</v>
      </c>
      <c r="E41" s="3">
        <f>AVERAGE(Serialization[Revenj.NET minimal (size)])</f>
        <v>28</v>
      </c>
      <c r="F41" s="3">
        <f>AVERAGE(Serialization[Jackson (size)])</f>
        <v>40</v>
      </c>
      <c r="G41" s="3">
        <f>AVERAGE(Serialization[DSL client Java full (size)])</f>
        <v>40</v>
      </c>
      <c r="H41" s="3">
        <f>AVERAGE(Serialization[DSL client Java minimal (size)])</f>
        <v>28</v>
      </c>
      <c r="I41" s="3">
        <f>AVERAGE(Serialization[Protobuf.NET (size)])</f>
        <v>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DEVSQ(Serialization[Newtonsoft (duration)])</f>
        <v>2</v>
      </c>
      <c r="D46" s="2">
        <f>DEVSQ(Serialization[Revenj.NET full (duration)])</f>
        <v>0</v>
      </c>
      <c r="E46" s="2">
        <f>DEVSQ(Serialization[Revenj.NET minimal (duration)])</f>
        <v>0</v>
      </c>
      <c r="F46" s="2">
        <f>DEVSQ(Serialization[Jackson (duration)])</f>
        <v>0.66666666666666674</v>
      </c>
      <c r="G46" s="2">
        <f>DEVSQ(Serialization[DSL client Java full (duration)])</f>
        <v>0.66666666666666663</v>
      </c>
      <c r="H46" s="2">
        <f>DEVSQ(Serialization[DSL client Java minimal (duration)])</f>
        <v>0.66666666666666663</v>
      </c>
      <c r="I46" s="2">
        <f>DEVSQ(Serialization[Protobuf.NET (duration)])</f>
        <v>0.66666666666666674</v>
      </c>
    </row>
    <row r="47" spans="2:11" x14ac:dyDescent="0.25">
      <c r="B47" t="s">
        <v>1</v>
      </c>
      <c r="C47" s="2">
        <f>DEVSQ(Both[Newtonsoft (duration)])</f>
        <v>0.66666666666666663</v>
      </c>
      <c r="D47" s="2">
        <f>DEVSQ(Both[Revenj.NET full (duration)])</f>
        <v>0</v>
      </c>
      <c r="E47" s="2">
        <f>DEVSQ(Both[Revenj.NET minimal (duration)])</f>
        <v>0</v>
      </c>
      <c r="F47" s="2">
        <f>DEVSQ(Both[Jackson (duration)])</f>
        <v>0</v>
      </c>
      <c r="G47" s="2">
        <f>DEVSQ(Both[DSL client Java full (duration)])</f>
        <v>0</v>
      </c>
      <c r="H47" s="2">
        <f>DEVSQ(Both[DSL client Java minimal (duration)])</f>
        <v>0.66666666666666674</v>
      </c>
      <c r="I47" s="2">
        <f>DEVSQ(Both[Protobuf.NET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79</v>
      </c>
      <c r="C52">
        <v>28</v>
      </c>
      <c r="D52">
        <v>3</v>
      </c>
      <c r="E52">
        <v>40</v>
      </c>
      <c r="F52">
        <v>3</v>
      </c>
      <c r="G52">
        <v>28</v>
      </c>
      <c r="H52">
        <v>42</v>
      </c>
      <c r="I52">
        <v>40</v>
      </c>
      <c r="J52">
        <v>2</v>
      </c>
      <c r="K52">
        <v>40</v>
      </c>
      <c r="L52">
        <v>1</v>
      </c>
      <c r="M52">
        <v>28</v>
      </c>
      <c r="N52">
        <v>33</v>
      </c>
      <c r="O52">
        <v>16</v>
      </c>
    </row>
    <row r="53" spans="2:15" x14ac:dyDescent="0.25">
      <c r="B53">
        <v>80</v>
      </c>
      <c r="C53">
        <v>28</v>
      </c>
      <c r="D53">
        <v>3</v>
      </c>
      <c r="E53">
        <v>40</v>
      </c>
      <c r="F53">
        <v>3</v>
      </c>
      <c r="G53">
        <v>28</v>
      </c>
      <c r="H53">
        <v>43</v>
      </c>
      <c r="I53">
        <v>40</v>
      </c>
      <c r="J53">
        <v>1</v>
      </c>
      <c r="K53">
        <v>40</v>
      </c>
      <c r="L53">
        <v>2</v>
      </c>
      <c r="M53">
        <v>28</v>
      </c>
      <c r="N53">
        <v>33</v>
      </c>
      <c r="O53">
        <v>16</v>
      </c>
    </row>
    <row r="54" spans="2:15" x14ac:dyDescent="0.25">
      <c r="B54">
        <v>81</v>
      </c>
      <c r="C54">
        <v>28</v>
      </c>
      <c r="D54">
        <v>3</v>
      </c>
      <c r="E54">
        <v>40</v>
      </c>
      <c r="F54">
        <v>3</v>
      </c>
      <c r="G54">
        <v>28</v>
      </c>
      <c r="H54">
        <v>43</v>
      </c>
      <c r="I54">
        <v>40</v>
      </c>
      <c r="J54">
        <v>1</v>
      </c>
      <c r="K54">
        <v>40</v>
      </c>
      <c r="L54">
        <v>2</v>
      </c>
      <c r="M54">
        <v>28</v>
      </c>
      <c r="N54">
        <v>34</v>
      </c>
      <c r="O54">
        <v>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93</v>
      </c>
      <c r="C58">
        <v>15</v>
      </c>
      <c r="D58">
        <v>15</v>
      </c>
      <c r="E58">
        <v>66</v>
      </c>
      <c r="F58">
        <v>4</v>
      </c>
      <c r="G58">
        <v>2</v>
      </c>
      <c r="H58">
        <v>36</v>
      </c>
      <c r="I58">
        <v>0</v>
      </c>
      <c r="J58">
        <v>1</v>
      </c>
    </row>
    <row r="59" spans="2:15" x14ac:dyDescent="0.25">
      <c r="B59">
        <v>94</v>
      </c>
      <c r="C59">
        <v>15</v>
      </c>
      <c r="D59">
        <v>15</v>
      </c>
      <c r="E59">
        <v>66</v>
      </c>
      <c r="F59">
        <v>4</v>
      </c>
      <c r="G59">
        <v>2</v>
      </c>
      <c r="H59">
        <v>36</v>
      </c>
      <c r="I59">
        <v>0</v>
      </c>
      <c r="J59">
        <v>1</v>
      </c>
    </row>
    <row r="60" spans="2:15" x14ac:dyDescent="0.25">
      <c r="B60">
        <v>94</v>
      </c>
      <c r="C60">
        <v>15</v>
      </c>
      <c r="D60">
        <v>15</v>
      </c>
      <c r="E60">
        <v>66</v>
      </c>
      <c r="F60">
        <v>4</v>
      </c>
      <c r="G60">
        <v>3</v>
      </c>
      <c r="H60">
        <v>35</v>
      </c>
      <c r="I60">
        <v>0</v>
      </c>
      <c r="J60">
        <v>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49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AVERAGE(Table79[Newtonsoft (duration)]) - J38</f>
        <v>120831.33333333334</v>
      </c>
      <c r="D38" s="2">
        <f>AVERAGE(Table79[Revenj.NET full (duration)]) - J38</f>
        <v>156337.66666666666</v>
      </c>
      <c r="E38" s="2">
        <f>AVERAGE(Table79[Revenj.NET minimal (duration)]) - J38</f>
        <v>155048.66666666666</v>
      </c>
      <c r="F38" s="2">
        <f>AVERAGE(Table79[Jackson (duration)]) - J39</f>
        <v>40371</v>
      </c>
      <c r="G38" s="2">
        <f>AVERAGE(Table79[DSL client Java full (duration)]) - J39</f>
        <v>36700.666666666664</v>
      </c>
      <c r="H38" s="2">
        <f>AVERAGE(Table79[DSL client Java minimal (duration)]) - J39</f>
        <v>36455.666666666664</v>
      </c>
      <c r="I38" s="2">
        <f>AVERAGE(Table79[Protobuf.NET (duration)]) - J38</f>
        <v>30550.333333333336</v>
      </c>
      <c r="J38" s="2">
        <f>AVERAGE(Table80[.NET (instance only)])</f>
        <v>25935</v>
      </c>
      <c r="K38" s="2">
        <f>AVERAGE(Table80[JVM (instance only)])</f>
        <v>7529.333333333333</v>
      </c>
    </row>
    <row r="39" spans="2:11" x14ac:dyDescent="0.25">
      <c r="B39" t="s">
        <v>3</v>
      </c>
      <c r="C39" s="2">
        <f>C40-C38</f>
        <v>211271.33333333334</v>
      </c>
      <c r="D39" s="2">
        <f t="shared" ref="D39:I39" si="0">D40-D38</f>
        <v>203620.33333333334</v>
      </c>
      <c r="E39" s="2">
        <f t="shared" si="0"/>
        <v>199731.00000000003</v>
      </c>
      <c r="F39" s="2">
        <f t="shared" ref="F39:H39" si="1">F40-F38</f>
        <v>73736.333333333328</v>
      </c>
      <c r="G39" s="2">
        <f t="shared" si="1"/>
        <v>12743.666666666672</v>
      </c>
      <c r="H39" s="2">
        <f t="shared" si="1"/>
        <v>12585.666666666672</v>
      </c>
      <c r="I39" s="2">
        <f t="shared" si="0"/>
        <v>96871.333333333314</v>
      </c>
      <c r="J39" s="2"/>
      <c r="K39" s="2"/>
    </row>
    <row r="40" spans="2:11" x14ac:dyDescent="0.25">
      <c r="B40" t="s">
        <v>1</v>
      </c>
      <c r="C40" s="2">
        <f>AVERAGE(Table80[Newtonsoft (duration)]) - J38</f>
        <v>332102.66666666669</v>
      </c>
      <c r="D40" s="2">
        <f>AVERAGE(Table80[Revenj.NET full (duration)]) - J38</f>
        <v>359958</v>
      </c>
      <c r="E40" s="2">
        <f>AVERAGE(Table80[Revenj.NET minimal (duration)]) - J38</f>
        <v>354779.66666666669</v>
      </c>
      <c r="F40" s="2">
        <f>AVERAGE(Table80[Jackson (duration)]) - J39</f>
        <v>114107.33333333333</v>
      </c>
      <c r="G40" s="2">
        <f>AVERAGE(Table80[DSL client Java full (duration)]) - J39</f>
        <v>49444.333333333336</v>
      </c>
      <c r="H40" s="2">
        <f>AVERAGE(Table80[DSL client Java minimal (duration)]) - J39</f>
        <v>49041.333333333336</v>
      </c>
      <c r="I40" s="2">
        <f>AVERAGE(Table80[Protobuf.NET (duration)]) - J38</f>
        <v>127421.66666666666</v>
      </c>
      <c r="J40" s="2"/>
      <c r="K40" s="2"/>
    </row>
    <row r="41" spans="2:11" x14ac:dyDescent="0.25">
      <c r="B41" t="s">
        <v>8</v>
      </c>
      <c r="C41" s="3">
        <f>AVERAGE(Table79[Newtonsoft (size)])</f>
        <v>9819175875.333334</v>
      </c>
      <c r="D41" s="3">
        <f>AVERAGE(Table79[Revenj.NET full (size)])</f>
        <v>9799347353.333334</v>
      </c>
      <c r="E41" s="3">
        <f>AVERAGE(Table79[Revenj.NET minimal (size)])</f>
        <v>9512404869.333334</v>
      </c>
      <c r="F41" s="3">
        <f>AVERAGE(Table79[Jackson (size)])</f>
        <v>9408942917.666666</v>
      </c>
      <c r="G41" s="3">
        <f>AVERAGE(Table79[DSL client Java full (size)])</f>
        <v>9695874192</v>
      </c>
      <c r="H41" s="3">
        <f>AVERAGE(Table79[DSL client Java minimal (size)])</f>
        <v>9403430120</v>
      </c>
      <c r="I41" s="3">
        <f>AVERAGE(Table79[Protobuf.NET (size)])</f>
        <v>7495744653.333333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DEVSQ(Table79[Newtonsoft (duration)])</f>
        <v>3277204.6666666665</v>
      </c>
      <c r="D46" s="2">
        <f>DEVSQ(Table79[Revenj.NET full (duration)])</f>
        <v>308600.66666666669</v>
      </c>
      <c r="E46" s="2">
        <f>DEVSQ(Table79[Revenj.NET minimal (duration)])</f>
        <v>54444.666666666664</v>
      </c>
      <c r="F46" s="2">
        <f>DEVSQ(Table79[Jackson (duration)])</f>
        <v>257438</v>
      </c>
      <c r="G46" s="2">
        <f>DEVSQ(Table79[DSL client Java full (duration)])</f>
        <v>41192.666666666672</v>
      </c>
      <c r="H46" s="2">
        <f>DEVSQ(Table79[DSL client Java minimal (duration)])</f>
        <v>206498.66666666666</v>
      </c>
      <c r="I46" s="2">
        <f>DEVSQ(Table79[Protobuf.NET (duration)])</f>
        <v>491280.66666666663</v>
      </c>
    </row>
    <row r="47" spans="2:11" x14ac:dyDescent="0.25">
      <c r="B47" t="s">
        <v>1</v>
      </c>
      <c r="C47" s="2">
        <f>DEVSQ(Table80[Newtonsoft (duration)])</f>
        <v>3814620.6666666665</v>
      </c>
      <c r="D47" s="2">
        <f>DEVSQ(Table80[Revenj.NET full (duration)])</f>
        <v>1601618118</v>
      </c>
      <c r="E47" s="2">
        <f>DEVSQ(Table80[Revenj.NET minimal (duration)])</f>
        <v>1415055888.6666667</v>
      </c>
      <c r="F47" s="2">
        <f>DEVSQ(Table80[Jackson (duration)])</f>
        <v>3684504.666666667</v>
      </c>
      <c r="G47" s="2">
        <f>DEVSQ(Table80[DSL client Java full (duration)])</f>
        <v>133180.66666666666</v>
      </c>
      <c r="H47" s="2">
        <f>DEVSQ(Table80[DSL client Java minimal (duration)])</f>
        <v>19772.666666666668</v>
      </c>
      <c r="I47" s="2">
        <f>DEVSQ(Table80[Protobuf.NET (duration)])</f>
        <v>1515170.6666666665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145856</v>
      </c>
      <c r="C52">
        <v>9819175738</v>
      </c>
      <c r="D52">
        <v>182623</v>
      </c>
      <c r="E52">
        <v>9799347392</v>
      </c>
      <c r="F52">
        <v>181110</v>
      </c>
      <c r="G52">
        <v>9512404257</v>
      </c>
      <c r="H52">
        <v>40454</v>
      </c>
      <c r="I52">
        <v>9408942919</v>
      </c>
      <c r="J52">
        <v>36556</v>
      </c>
      <c r="K52">
        <v>9695874192</v>
      </c>
      <c r="L52">
        <v>36143</v>
      </c>
      <c r="M52">
        <v>9403430120</v>
      </c>
      <c r="N52">
        <v>55951</v>
      </c>
      <c r="O52">
        <v>7495744695</v>
      </c>
    </row>
    <row r="53" spans="2:15" x14ac:dyDescent="0.25">
      <c r="B53">
        <v>148230</v>
      </c>
      <c r="C53">
        <v>9819175660</v>
      </c>
      <c r="D53">
        <v>182347</v>
      </c>
      <c r="E53">
        <v>9799347140</v>
      </c>
      <c r="F53">
        <v>181044</v>
      </c>
      <c r="G53">
        <v>9512404668</v>
      </c>
      <c r="H53">
        <v>39978</v>
      </c>
      <c r="I53">
        <v>9408942918</v>
      </c>
      <c r="J53">
        <v>36703</v>
      </c>
      <c r="K53">
        <v>9695874192</v>
      </c>
      <c r="L53">
        <v>36439</v>
      </c>
      <c r="M53">
        <v>9403430120</v>
      </c>
      <c r="N53">
        <v>56575</v>
      </c>
      <c r="O53">
        <v>7495744880</v>
      </c>
    </row>
    <row r="54" spans="2:15" x14ac:dyDescent="0.25">
      <c r="B54">
        <v>146213</v>
      </c>
      <c r="C54">
        <v>9819176228</v>
      </c>
      <c r="D54">
        <v>181848</v>
      </c>
      <c r="E54">
        <v>9799347528</v>
      </c>
      <c r="F54">
        <v>180797</v>
      </c>
      <c r="G54">
        <v>9512405683</v>
      </c>
      <c r="H54">
        <v>40681</v>
      </c>
      <c r="I54">
        <v>9408942916</v>
      </c>
      <c r="J54">
        <v>36843</v>
      </c>
      <c r="K54">
        <v>9695874192</v>
      </c>
      <c r="L54">
        <v>36785</v>
      </c>
      <c r="M54">
        <v>9403430120</v>
      </c>
      <c r="N54">
        <v>56930</v>
      </c>
      <c r="O54">
        <v>7495744385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356603</v>
      </c>
      <c r="C58">
        <v>369815</v>
      </c>
      <c r="D58">
        <v>365373</v>
      </c>
      <c r="E58">
        <v>112724</v>
      </c>
      <c r="F58">
        <v>49360</v>
      </c>
      <c r="G58">
        <v>48989</v>
      </c>
      <c r="H58">
        <v>152534</v>
      </c>
      <c r="I58">
        <v>25938</v>
      </c>
      <c r="J58">
        <v>7526</v>
      </c>
    </row>
    <row r="59" spans="2:15" x14ac:dyDescent="0.25">
      <c r="B59">
        <v>359358</v>
      </c>
      <c r="C59">
        <v>418568</v>
      </c>
      <c r="D59">
        <v>365342</v>
      </c>
      <c r="E59">
        <v>114161</v>
      </c>
      <c r="F59">
        <v>49239</v>
      </c>
      <c r="G59">
        <v>49156</v>
      </c>
      <c r="H59">
        <v>153268</v>
      </c>
      <c r="I59">
        <v>25763</v>
      </c>
      <c r="J59">
        <v>7515</v>
      </c>
    </row>
    <row r="60" spans="2:15" x14ac:dyDescent="0.25">
      <c r="B60">
        <v>358152</v>
      </c>
      <c r="C60">
        <v>369296</v>
      </c>
      <c r="D60">
        <v>411429</v>
      </c>
      <c r="E60">
        <v>115437</v>
      </c>
      <c r="F60">
        <v>49734</v>
      </c>
      <c r="G60">
        <v>48979</v>
      </c>
      <c r="H60">
        <v>154268</v>
      </c>
      <c r="I60">
        <v>26104</v>
      </c>
      <c r="J60">
        <v>7547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32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AVERAGE(Table11[Newtonsoft (duration)]) - J38</f>
        <v>91</v>
      </c>
      <c r="D38" s="2">
        <f>AVERAGE(Table11[Revenj.NET full (duration)]) - J38</f>
        <v>14.333333333333332</v>
      </c>
      <c r="E38" s="2">
        <f>AVERAGE(Table11[Revenj.NET minimal (duration)]) - J38</f>
        <v>14.666666666666668</v>
      </c>
      <c r="F38" s="2">
        <f>AVERAGE(Table11[Jackson (duration)]) - J39</f>
        <v>75.666666666666671</v>
      </c>
      <c r="G38" s="2">
        <f>AVERAGE(Table11[DSL client Java full (duration)]) - J39</f>
        <v>3.3333333333333335</v>
      </c>
      <c r="H38" s="2">
        <f>AVERAGE(Table11[DSL client Java minimal (duration)]) - J39</f>
        <v>4</v>
      </c>
      <c r="I38" s="2">
        <f>AVERAGE(Table11[Protobuf.NET (duration)]) - J38</f>
        <v>47</v>
      </c>
      <c r="J38" s="2">
        <f>AVERAGE(Table12[.NET (instance only)])</f>
        <v>2</v>
      </c>
      <c r="K38" s="2">
        <f>AVERAGE(Table12[JVM (instance only)])</f>
        <v>2.3333333333333335</v>
      </c>
    </row>
    <row r="39" spans="2:11" x14ac:dyDescent="0.25">
      <c r="B39" t="s">
        <v>3</v>
      </c>
      <c r="C39" s="2">
        <f>C40-C38</f>
        <v>20.666666666666671</v>
      </c>
      <c r="D39" s="2">
        <f t="shared" ref="D39:I39" si="0">D40-D38</f>
        <v>13.666666666666668</v>
      </c>
      <c r="E39" s="2">
        <f t="shared" si="0"/>
        <v>13.333333333333332</v>
      </c>
      <c r="F39" s="2">
        <f t="shared" ref="F39:H39" si="1">F40-F38</f>
        <v>63.333333333333329</v>
      </c>
      <c r="G39" s="2">
        <f t="shared" si="1"/>
        <v>4.6666666666666661</v>
      </c>
      <c r="H39" s="2">
        <f t="shared" si="1"/>
        <v>1.666666666666667</v>
      </c>
      <c r="I39" s="2">
        <f t="shared" si="0"/>
        <v>2.6666666666666643</v>
      </c>
      <c r="J39" s="2"/>
      <c r="K39" s="2"/>
    </row>
    <row r="40" spans="2:11" x14ac:dyDescent="0.25">
      <c r="B40" t="s">
        <v>1</v>
      </c>
      <c r="C40" s="2">
        <f>AVERAGE(Table12[Newtonsoft (duration)]) - J38</f>
        <v>111.66666666666667</v>
      </c>
      <c r="D40" s="2">
        <f>AVERAGE(Table12[Revenj.NET full (duration)]) - J38</f>
        <v>28</v>
      </c>
      <c r="E40" s="2">
        <f>AVERAGE(Table12[Revenj.NET minimal (duration)]) - J38</f>
        <v>28</v>
      </c>
      <c r="F40" s="2">
        <f>AVERAGE(Table12[Jackson (duration)]) - J39</f>
        <v>139</v>
      </c>
      <c r="G40" s="2">
        <f>AVERAGE(Table12[DSL client Java full (duration)]) - J39</f>
        <v>8</v>
      </c>
      <c r="H40" s="2">
        <f>AVERAGE(Table12[DSL client Java minimal (duration)]) - J39</f>
        <v>5.666666666666667</v>
      </c>
      <c r="I40" s="2">
        <f>AVERAGE(Table12[Protobuf.NET (duration)]) - J38</f>
        <v>49.666666666666664</v>
      </c>
      <c r="J40" s="2"/>
      <c r="K40" s="2"/>
    </row>
    <row r="41" spans="2:11" x14ac:dyDescent="0.25">
      <c r="B41" t="s">
        <v>8</v>
      </c>
      <c r="C41" s="3">
        <f>AVERAGE(Table11[Newtonsoft (size)])</f>
        <v>111.33333333333333</v>
      </c>
      <c r="D41" s="3">
        <f>AVERAGE(Table11[Revenj.NET full (size)])</f>
        <v>140.66666666666666</v>
      </c>
      <c r="E41" s="3">
        <f>AVERAGE(Table11[Revenj.NET minimal (size)])</f>
        <v>75</v>
      </c>
      <c r="F41" s="3">
        <f>AVERAGE(Table11[Jackson (size)])</f>
        <v>73</v>
      </c>
      <c r="G41" s="3">
        <f>AVERAGE(Table11[DSL client Java full (size)])</f>
        <v>140</v>
      </c>
      <c r="H41" s="3">
        <f>AVERAGE(Table11[DSL client Java minimal (size)])</f>
        <v>53</v>
      </c>
      <c r="I41" s="3">
        <f>AVERAGE(Table11[Protobuf.NET (size)])</f>
        <v>38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DEVSQ(Table11[Newtonsoft (duration)])</f>
        <v>2</v>
      </c>
      <c r="D46" s="2">
        <f>DEVSQ(Table11[Revenj.NET full (duration)])</f>
        <v>0.66666666666666674</v>
      </c>
      <c r="E46" s="2">
        <f>DEVSQ(Table11[Revenj.NET minimal (duration)])</f>
        <v>0.66666666666666674</v>
      </c>
      <c r="F46" s="2">
        <f>DEVSQ(Table11[Jackson (duration)])</f>
        <v>0.66666666666666663</v>
      </c>
      <c r="G46" s="2">
        <f>DEVSQ(Table11[DSL client Java full (duration)])</f>
        <v>0.66666666666666674</v>
      </c>
      <c r="H46" s="2">
        <f>DEVSQ(Table11[DSL client Java minimal (duration)])</f>
        <v>2</v>
      </c>
      <c r="I46" s="2">
        <f>DEVSQ(Table11[Protobuf.NET (duration)])</f>
        <v>0</v>
      </c>
    </row>
    <row r="47" spans="2:11" x14ac:dyDescent="0.25">
      <c r="B47" t="s">
        <v>1</v>
      </c>
      <c r="C47" s="2">
        <f>DEVSQ(Table12[Newtonsoft (duration)])</f>
        <v>0.66666666666666663</v>
      </c>
      <c r="D47" s="2">
        <f>DEVSQ(Table12[Revenj.NET full (duration)])</f>
        <v>0</v>
      </c>
      <c r="E47" s="2">
        <f>DEVSQ(Table12[Revenj.NET minimal (duration)])</f>
        <v>0</v>
      </c>
      <c r="F47" s="2">
        <f>DEVSQ(Table12[Jackson (duration)])</f>
        <v>24</v>
      </c>
      <c r="G47" s="2">
        <f>DEVSQ(Table12[DSL client Java full (duration)])</f>
        <v>0</v>
      </c>
      <c r="H47" s="2">
        <f>DEVSQ(Table12[DSL client Java minimal (duration)])</f>
        <v>0.66666666666666674</v>
      </c>
      <c r="I47" s="2">
        <f>DEVSQ(Table12[Protobuf.NET (duration)])</f>
        <v>0.66666666666666674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93</v>
      </c>
      <c r="C52">
        <v>111</v>
      </c>
      <c r="D52">
        <v>16</v>
      </c>
      <c r="E52">
        <v>140</v>
      </c>
      <c r="F52">
        <v>17</v>
      </c>
      <c r="G52">
        <v>75</v>
      </c>
      <c r="H52">
        <v>76</v>
      </c>
      <c r="I52">
        <v>73</v>
      </c>
      <c r="J52">
        <v>4</v>
      </c>
      <c r="K52">
        <v>140</v>
      </c>
      <c r="L52">
        <v>3</v>
      </c>
      <c r="M52">
        <v>53</v>
      </c>
      <c r="N52">
        <v>49</v>
      </c>
      <c r="O52">
        <v>38</v>
      </c>
    </row>
    <row r="53" spans="2:15" x14ac:dyDescent="0.25">
      <c r="B53">
        <v>94</v>
      </c>
      <c r="C53">
        <v>112</v>
      </c>
      <c r="D53">
        <v>17</v>
      </c>
      <c r="E53">
        <v>141</v>
      </c>
      <c r="F53">
        <v>17</v>
      </c>
      <c r="G53">
        <v>75</v>
      </c>
      <c r="H53">
        <v>75</v>
      </c>
      <c r="I53">
        <v>73</v>
      </c>
      <c r="J53">
        <v>3</v>
      </c>
      <c r="K53">
        <v>140</v>
      </c>
      <c r="L53">
        <v>5</v>
      </c>
      <c r="M53">
        <v>53</v>
      </c>
      <c r="N53">
        <v>49</v>
      </c>
      <c r="O53">
        <v>38</v>
      </c>
    </row>
    <row r="54" spans="2:15" x14ac:dyDescent="0.25">
      <c r="B54">
        <v>92</v>
      </c>
      <c r="C54">
        <v>111</v>
      </c>
      <c r="D54">
        <v>16</v>
      </c>
      <c r="E54">
        <v>141</v>
      </c>
      <c r="F54">
        <v>16</v>
      </c>
      <c r="G54">
        <v>75</v>
      </c>
      <c r="H54">
        <v>76</v>
      </c>
      <c r="I54">
        <v>73</v>
      </c>
      <c r="J54">
        <v>3</v>
      </c>
      <c r="K54">
        <v>140</v>
      </c>
      <c r="L54">
        <v>4</v>
      </c>
      <c r="M54">
        <v>53</v>
      </c>
      <c r="N54">
        <v>49</v>
      </c>
      <c r="O54">
        <v>38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114</v>
      </c>
      <c r="C58">
        <v>30</v>
      </c>
      <c r="D58">
        <v>30</v>
      </c>
      <c r="E58">
        <v>137</v>
      </c>
      <c r="F58">
        <v>8</v>
      </c>
      <c r="G58">
        <v>6</v>
      </c>
      <c r="H58">
        <v>51</v>
      </c>
      <c r="I58">
        <v>2</v>
      </c>
      <c r="J58">
        <v>2</v>
      </c>
    </row>
    <row r="59" spans="2:15" x14ac:dyDescent="0.25">
      <c r="B59">
        <v>113</v>
      </c>
      <c r="C59">
        <v>30</v>
      </c>
      <c r="D59">
        <v>30</v>
      </c>
      <c r="E59">
        <v>143</v>
      </c>
      <c r="F59">
        <v>8</v>
      </c>
      <c r="G59">
        <v>6</v>
      </c>
      <c r="H59">
        <v>52</v>
      </c>
      <c r="I59">
        <v>2</v>
      </c>
      <c r="J59">
        <v>3</v>
      </c>
    </row>
    <row r="60" spans="2:15" x14ac:dyDescent="0.25">
      <c r="B60">
        <v>114</v>
      </c>
      <c r="C60">
        <v>30</v>
      </c>
      <c r="D60">
        <v>30</v>
      </c>
      <c r="E60">
        <v>137</v>
      </c>
      <c r="F60">
        <v>8</v>
      </c>
      <c r="G60">
        <v>5</v>
      </c>
      <c r="H60">
        <v>52</v>
      </c>
      <c r="I60">
        <v>2</v>
      </c>
      <c r="J60">
        <v>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33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AVERAGE(Table15[Newtonsoft (duration)]) - J38</f>
        <v>222.66666666666666</v>
      </c>
      <c r="D38" s="2">
        <f>AVERAGE(Table15[Revenj.NET full (duration)]) - J38</f>
        <v>79</v>
      </c>
      <c r="E38" s="2">
        <f>AVERAGE(Table15[Revenj.NET minimal (duration)]) - J38</f>
        <v>80.666666666666671</v>
      </c>
      <c r="F38" s="2">
        <f>AVERAGE(Table15[Jackson (duration)]) - J39</f>
        <v>223</v>
      </c>
      <c r="G38" s="2">
        <f>AVERAGE(Table15[DSL client Java full (duration)]) - J39</f>
        <v>58.666666666666664</v>
      </c>
      <c r="H38" s="2">
        <f>AVERAGE(Table15[DSL client Java minimal (duration)]) - J39</f>
        <v>58.333333333333336</v>
      </c>
      <c r="I38" s="2">
        <f>AVERAGE(Table15[Protobuf.NET (duration)]) - J38</f>
        <v>76</v>
      </c>
      <c r="J38" s="2">
        <f>AVERAGE(Table16[.NET (instance only)])</f>
        <v>13</v>
      </c>
      <c r="K38" s="2">
        <f>AVERAGE(Table16[JVM (instance only)])</f>
        <v>29.666666666666668</v>
      </c>
    </row>
    <row r="39" spans="2:11" x14ac:dyDescent="0.25">
      <c r="B39" t="s">
        <v>3</v>
      </c>
      <c r="C39" s="2">
        <f>C40-C38</f>
        <v>525.66666666666674</v>
      </c>
      <c r="D39" s="2">
        <f t="shared" ref="D39:I39" si="0">D40-D38</f>
        <v>118.33333333333334</v>
      </c>
      <c r="E39" s="2">
        <f t="shared" si="0"/>
        <v>111.33333333333333</v>
      </c>
      <c r="F39" s="2">
        <f t="shared" ref="F39:H39" si="1">F40-F38</f>
        <v>192.33333333333331</v>
      </c>
      <c r="G39" s="2">
        <f t="shared" si="1"/>
        <v>56.666666666666664</v>
      </c>
      <c r="H39" s="2">
        <f t="shared" si="1"/>
        <v>57.666666666666664</v>
      </c>
      <c r="I39" s="2">
        <f t="shared" si="0"/>
        <v>100.33333333333334</v>
      </c>
      <c r="J39" s="2"/>
      <c r="K39" s="2"/>
    </row>
    <row r="40" spans="2:11" x14ac:dyDescent="0.25">
      <c r="B40" t="s">
        <v>1</v>
      </c>
      <c r="C40" s="2">
        <f>AVERAGE(Table16[Newtonsoft (duration)]) - J38</f>
        <v>748.33333333333337</v>
      </c>
      <c r="D40" s="2">
        <f>AVERAGE(Table16[Revenj.NET full (duration)]) - J38</f>
        <v>197.33333333333334</v>
      </c>
      <c r="E40" s="2">
        <f>AVERAGE(Table16[Revenj.NET minimal (duration)]) - J38</f>
        <v>192</v>
      </c>
      <c r="F40" s="2">
        <f>AVERAGE(Table16[Jackson (duration)]) - J39</f>
        <v>415.33333333333331</v>
      </c>
      <c r="G40" s="2">
        <f>AVERAGE(Table16[DSL client Java full (duration)]) - J39</f>
        <v>115.33333333333333</v>
      </c>
      <c r="H40" s="2">
        <f>AVERAGE(Table16[DSL client Java minimal (duration)]) - J39</f>
        <v>116</v>
      </c>
      <c r="I40" s="2">
        <f>AVERAGE(Table16[Protobuf.NET (duration)]) - J38</f>
        <v>176.33333333333334</v>
      </c>
      <c r="J40" s="2"/>
      <c r="K40" s="2"/>
    </row>
    <row r="41" spans="2:11" x14ac:dyDescent="0.25">
      <c r="B41" t="s">
        <v>8</v>
      </c>
      <c r="C41" s="3">
        <f>AVERAGE(Table15[Newtonsoft (size)])</f>
        <v>4777768</v>
      </c>
      <c r="D41" s="3">
        <f>AVERAGE(Table15[Revenj.NET full (size)])</f>
        <v>4777780</v>
      </c>
      <c r="E41" s="3">
        <f>AVERAGE(Table15[Revenj.NET minimal (size)])</f>
        <v>4777768</v>
      </c>
      <c r="F41" s="3">
        <f>AVERAGE(Table15[Jackson (size)])</f>
        <v>4777780</v>
      </c>
      <c r="G41" s="3">
        <f>AVERAGE(Table15[DSL client Java full (size)])</f>
        <v>4777780</v>
      </c>
      <c r="H41" s="3">
        <f>AVERAGE(Table15[DSL client Java minimal (size)])</f>
        <v>4777768</v>
      </c>
      <c r="I41" s="3">
        <f>AVERAGE(Table15[Protobuf.NET (size)])</f>
        <v>2372376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DEVSQ(Table15[Newtonsoft (duration)])</f>
        <v>0.66666666666666674</v>
      </c>
      <c r="D46" s="2">
        <f>DEVSQ(Table15[Revenj.NET full (duration)])</f>
        <v>0</v>
      </c>
      <c r="E46" s="2">
        <f>DEVSQ(Table15[Revenj.NET minimal (duration)])</f>
        <v>42.666666666666664</v>
      </c>
      <c r="F46" s="2">
        <f>DEVSQ(Table15[Jackson (duration)])</f>
        <v>50</v>
      </c>
      <c r="G46" s="2">
        <f>DEVSQ(Table15[DSL client Java full (duration)])</f>
        <v>4.6666666666666661</v>
      </c>
      <c r="H46" s="2">
        <f>DEVSQ(Table15[DSL client Java minimal (duration)])</f>
        <v>2.666666666666667</v>
      </c>
      <c r="I46" s="2">
        <f>DEVSQ(Table15[Protobuf.NET (duration)])</f>
        <v>38</v>
      </c>
    </row>
    <row r="47" spans="2:11" x14ac:dyDescent="0.25">
      <c r="B47" t="s">
        <v>1</v>
      </c>
      <c r="C47" s="2">
        <f>DEVSQ(Table16[Newtonsoft (duration)])</f>
        <v>98.666666666666657</v>
      </c>
      <c r="D47" s="2">
        <f>DEVSQ(Table16[Revenj.NET full (duration)])</f>
        <v>10.666666666666668</v>
      </c>
      <c r="E47" s="2">
        <f>DEVSQ(Table16[Revenj.NET minimal (duration)])</f>
        <v>14</v>
      </c>
      <c r="F47" s="2">
        <f>DEVSQ(Table16[Jackson (duration)])</f>
        <v>384.66666666666663</v>
      </c>
      <c r="G47" s="2">
        <f>DEVSQ(Table16[DSL client Java full (duration)])</f>
        <v>12.666666666666666</v>
      </c>
      <c r="H47" s="2">
        <f>DEVSQ(Table16[DSL client Java minimal (duration)])</f>
        <v>56</v>
      </c>
      <c r="I47" s="2">
        <f>DEVSQ(Table16[Protobuf.NET (duration)])</f>
        <v>12.666666666666668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235</v>
      </c>
      <c r="C52">
        <v>4777768</v>
      </c>
      <c r="D52">
        <v>92</v>
      </c>
      <c r="E52">
        <v>4777780</v>
      </c>
      <c r="F52">
        <v>99</v>
      </c>
      <c r="G52">
        <v>4777768</v>
      </c>
      <c r="H52">
        <v>228</v>
      </c>
      <c r="I52">
        <v>4777780</v>
      </c>
      <c r="J52">
        <v>60</v>
      </c>
      <c r="K52">
        <v>4777780</v>
      </c>
      <c r="L52">
        <v>59</v>
      </c>
      <c r="M52">
        <v>4777768</v>
      </c>
      <c r="N52">
        <v>94</v>
      </c>
      <c r="O52">
        <v>2372376</v>
      </c>
    </row>
    <row r="53" spans="2:15" x14ac:dyDescent="0.25">
      <c r="B53">
        <v>236</v>
      </c>
      <c r="C53">
        <v>4777768</v>
      </c>
      <c r="D53">
        <v>92</v>
      </c>
      <c r="E53">
        <v>4777780</v>
      </c>
      <c r="F53">
        <v>91</v>
      </c>
      <c r="G53">
        <v>4777768</v>
      </c>
      <c r="H53">
        <v>218</v>
      </c>
      <c r="I53">
        <v>4777780</v>
      </c>
      <c r="J53">
        <v>57</v>
      </c>
      <c r="K53">
        <v>4777780</v>
      </c>
      <c r="L53">
        <v>59</v>
      </c>
      <c r="M53">
        <v>4777768</v>
      </c>
      <c r="N53">
        <v>87</v>
      </c>
      <c r="O53">
        <v>2372376</v>
      </c>
    </row>
    <row r="54" spans="2:15" x14ac:dyDescent="0.25">
      <c r="B54">
        <v>236</v>
      </c>
      <c r="C54">
        <v>4777768</v>
      </c>
      <c r="D54">
        <v>92</v>
      </c>
      <c r="E54">
        <v>4777780</v>
      </c>
      <c r="F54">
        <v>91</v>
      </c>
      <c r="G54">
        <v>4777768</v>
      </c>
      <c r="H54">
        <v>223</v>
      </c>
      <c r="I54">
        <v>4777780</v>
      </c>
      <c r="J54">
        <v>59</v>
      </c>
      <c r="K54">
        <v>4777780</v>
      </c>
      <c r="L54">
        <v>57</v>
      </c>
      <c r="M54">
        <v>4777768</v>
      </c>
      <c r="N54">
        <v>86</v>
      </c>
      <c r="O54">
        <v>2372376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762</v>
      </c>
      <c r="C58">
        <v>213</v>
      </c>
      <c r="D58">
        <v>204</v>
      </c>
      <c r="E58">
        <v>400</v>
      </c>
      <c r="F58">
        <v>113</v>
      </c>
      <c r="G58">
        <v>122</v>
      </c>
      <c r="H58">
        <v>189</v>
      </c>
      <c r="I58">
        <v>13</v>
      </c>
      <c r="J58">
        <v>30</v>
      </c>
    </row>
    <row r="59" spans="2:15" x14ac:dyDescent="0.25">
      <c r="B59">
        <v>754</v>
      </c>
      <c r="C59">
        <v>209</v>
      </c>
      <c r="D59">
        <v>208</v>
      </c>
      <c r="E59">
        <v>427</v>
      </c>
      <c r="F59">
        <v>118</v>
      </c>
      <c r="G59">
        <v>114</v>
      </c>
      <c r="H59">
        <v>192</v>
      </c>
      <c r="I59">
        <v>13</v>
      </c>
      <c r="J59">
        <v>30</v>
      </c>
    </row>
    <row r="60" spans="2:15" x14ac:dyDescent="0.25">
      <c r="B60">
        <v>768</v>
      </c>
      <c r="C60">
        <v>209</v>
      </c>
      <c r="D60">
        <v>203</v>
      </c>
      <c r="E60">
        <v>419</v>
      </c>
      <c r="F60">
        <v>115</v>
      </c>
      <c r="G60">
        <v>112</v>
      </c>
      <c r="H60">
        <v>187</v>
      </c>
      <c r="I60">
        <v>13</v>
      </c>
      <c r="J60">
        <v>29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34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AVERAGE(Table19[Newtonsoft (duration)]) - J38</f>
        <v>1540.3333333333335</v>
      </c>
      <c r="D38" s="2">
        <f>AVERAGE(Table19[Revenj.NET full (duration)]) - J38</f>
        <v>802.33333333333326</v>
      </c>
      <c r="E38" s="2">
        <f>AVERAGE(Table19[Revenj.NET minimal (duration)]) - J38</f>
        <v>791.66666666666663</v>
      </c>
      <c r="F38" s="2">
        <f>AVERAGE(Table19[Jackson (duration)]) - J39</f>
        <v>522.33333333333337</v>
      </c>
      <c r="G38" s="2">
        <f>AVERAGE(Table19[DSL client Java full (duration)]) - J39</f>
        <v>213</v>
      </c>
      <c r="H38" s="2">
        <f>AVERAGE(Table19[DSL client Java minimal (duration)]) - J39</f>
        <v>215.33333333333334</v>
      </c>
      <c r="I38" s="2">
        <f>AVERAGE(Table19[Protobuf.NET (duration)]) - J38</f>
        <v>433.00000000000006</v>
      </c>
      <c r="J38" s="2">
        <f>AVERAGE(Table20[.NET (instance only)])</f>
        <v>124.33333333333333</v>
      </c>
      <c r="K38" s="2">
        <f>AVERAGE(Table20[JVM (instance only)])</f>
        <v>80.333333333333329</v>
      </c>
    </row>
    <row r="39" spans="2:11" x14ac:dyDescent="0.25">
      <c r="B39" t="s">
        <v>3</v>
      </c>
      <c r="C39" s="2">
        <f>C40-C38</f>
        <v>5144.6666666666661</v>
      </c>
      <c r="D39" s="2">
        <f t="shared" ref="D39:I39" si="0">D40-D38</f>
        <v>1071.6666666666667</v>
      </c>
      <c r="E39" s="2">
        <f t="shared" si="0"/>
        <v>1054</v>
      </c>
      <c r="F39" s="2">
        <f t="shared" ref="F39:H39" si="1">F40-F38</f>
        <v>560.33333333333337</v>
      </c>
      <c r="G39" s="2">
        <f t="shared" si="1"/>
        <v>179.66666666666669</v>
      </c>
      <c r="H39" s="2">
        <f t="shared" si="1"/>
        <v>176.66666666666666</v>
      </c>
      <c r="I39" s="2">
        <f t="shared" si="0"/>
        <v>1053.3333333333335</v>
      </c>
      <c r="J39" s="2"/>
      <c r="K39" s="2"/>
    </row>
    <row r="40" spans="2:11" x14ac:dyDescent="0.25">
      <c r="B40" t="s">
        <v>1</v>
      </c>
      <c r="C40" s="2">
        <f>AVERAGE(Table20[Newtonsoft (duration)]) - J38</f>
        <v>6685</v>
      </c>
      <c r="D40" s="2">
        <f>AVERAGE(Table20[Revenj.NET full (duration)]) - J38</f>
        <v>1874</v>
      </c>
      <c r="E40" s="2">
        <f>AVERAGE(Table20[Revenj.NET minimal (duration)]) - J38</f>
        <v>1845.6666666666667</v>
      </c>
      <c r="F40" s="2">
        <f>AVERAGE(Table20[Jackson (duration)]) - J39</f>
        <v>1082.6666666666667</v>
      </c>
      <c r="G40" s="2">
        <f>AVERAGE(Table20[DSL client Java full (duration)]) - J39</f>
        <v>392.66666666666669</v>
      </c>
      <c r="H40" s="2">
        <f>AVERAGE(Table20[DSL client Java minimal (duration)]) - J39</f>
        <v>392</v>
      </c>
      <c r="I40" s="2">
        <f>AVERAGE(Table20[Protobuf.NET (duration)]) - J38</f>
        <v>1486.3333333333335</v>
      </c>
      <c r="J40" s="2"/>
      <c r="K40" s="2"/>
    </row>
    <row r="41" spans="2:11" x14ac:dyDescent="0.25">
      <c r="B41" t="s">
        <v>8</v>
      </c>
      <c r="C41" s="3">
        <f>AVERAGE(Table19[Newtonsoft (size)])</f>
        <v>49777768</v>
      </c>
      <c r="D41" s="3">
        <f>AVERAGE(Table19[Revenj.NET full (size)])</f>
        <v>49777780</v>
      </c>
      <c r="E41" s="3">
        <f>AVERAGE(Table19[Revenj.NET minimal (size)])</f>
        <v>49777768</v>
      </c>
      <c r="F41" s="3">
        <f>AVERAGE(Table19[Jackson (size)])</f>
        <v>49777780</v>
      </c>
      <c r="G41" s="3">
        <f>AVERAGE(Table19[DSL client Java full (size)])</f>
        <v>49777780</v>
      </c>
      <c r="H41" s="3">
        <f>AVERAGE(Table19[DSL client Java minimal (size)])</f>
        <v>49777768</v>
      </c>
      <c r="I41" s="3">
        <f>AVERAGE(Table19[Protobuf.NET (size)])</f>
        <v>24872376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DEVSQ(Table19[Newtonsoft (duration)])</f>
        <v>2322.666666666667</v>
      </c>
      <c r="D46" s="2">
        <f>DEVSQ(Table19[Revenj.NET full (duration)])</f>
        <v>12.666666666666668</v>
      </c>
      <c r="E46" s="2">
        <f>DEVSQ(Table19[Revenj.NET minimal (duration)])</f>
        <v>168</v>
      </c>
      <c r="F46" s="2">
        <f>DEVSQ(Table19[Jackson (duration)])</f>
        <v>970.66666666666663</v>
      </c>
      <c r="G46" s="2">
        <f>DEVSQ(Table19[DSL client Java full (duration)])</f>
        <v>24</v>
      </c>
      <c r="H46" s="2">
        <f>DEVSQ(Table19[DSL client Java minimal (duration)])</f>
        <v>34.666666666666671</v>
      </c>
      <c r="I46" s="2">
        <f>DEVSQ(Table19[Protobuf.NET (duration)])</f>
        <v>28.666666666666664</v>
      </c>
    </row>
    <row r="47" spans="2:11" x14ac:dyDescent="0.25">
      <c r="B47" t="s">
        <v>1</v>
      </c>
      <c r="C47" s="2">
        <f>DEVSQ(Table20[Newtonsoft (duration)])</f>
        <v>360.66666666666669</v>
      </c>
      <c r="D47" s="2">
        <f>DEVSQ(Table20[Revenj.NET full (duration)])</f>
        <v>162.66666666666666</v>
      </c>
      <c r="E47" s="2">
        <f>DEVSQ(Table20[Revenj.NET minimal (duration)])</f>
        <v>728</v>
      </c>
      <c r="F47" s="2">
        <f>DEVSQ(Table20[Jackson (duration)])</f>
        <v>268.66666666666663</v>
      </c>
      <c r="G47" s="2">
        <f>DEVSQ(Table20[DSL client Java full (duration)])</f>
        <v>60.666666666666671</v>
      </c>
      <c r="H47" s="2">
        <f>DEVSQ(Table20[DSL client Java minimal (duration)])</f>
        <v>168</v>
      </c>
      <c r="I47" s="2">
        <f>DEVSQ(Table20[Protobuf.NET (duration)])</f>
        <v>522.66666666666674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1704</v>
      </c>
      <c r="C52">
        <v>49777768</v>
      </c>
      <c r="D52">
        <v>924</v>
      </c>
      <c r="E52">
        <v>49777780</v>
      </c>
      <c r="F52">
        <v>908</v>
      </c>
      <c r="G52">
        <v>49777768</v>
      </c>
      <c r="H52">
        <v>501</v>
      </c>
      <c r="I52">
        <v>49777780</v>
      </c>
      <c r="J52">
        <v>215</v>
      </c>
      <c r="K52">
        <v>49777780</v>
      </c>
      <c r="L52">
        <v>212</v>
      </c>
      <c r="M52">
        <v>49777768</v>
      </c>
      <c r="N52">
        <v>560</v>
      </c>
      <c r="O52">
        <v>24872376</v>
      </c>
    </row>
    <row r="53" spans="2:15" x14ac:dyDescent="0.25">
      <c r="B53">
        <v>1644</v>
      </c>
      <c r="C53">
        <v>49777768</v>
      </c>
      <c r="D53">
        <v>927</v>
      </c>
      <c r="E53">
        <v>49777780</v>
      </c>
      <c r="F53">
        <v>914</v>
      </c>
      <c r="G53">
        <v>49777768</v>
      </c>
      <c r="H53">
        <v>521</v>
      </c>
      <c r="I53">
        <v>49777780</v>
      </c>
      <c r="J53">
        <v>215</v>
      </c>
      <c r="K53">
        <v>49777780</v>
      </c>
      <c r="L53">
        <v>214</v>
      </c>
      <c r="M53">
        <v>49777768</v>
      </c>
      <c r="N53">
        <v>553</v>
      </c>
      <c r="O53">
        <v>24872376</v>
      </c>
    </row>
    <row r="54" spans="2:15" x14ac:dyDescent="0.25">
      <c r="B54">
        <v>1646</v>
      </c>
      <c r="C54">
        <v>49777768</v>
      </c>
      <c r="D54">
        <v>929</v>
      </c>
      <c r="E54">
        <v>49777780</v>
      </c>
      <c r="F54">
        <v>926</v>
      </c>
      <c r="G54">
        <v>49777768</v>
      </c>
      <c r="H54">
        <v>545</v>
      </c>
      <c r="I54">
        <v>49777780</v>
      </c>
      <c r="J54">
        <v>209</v>
      </c>
      <c r="K54">
        <v>49777780</v>
      </c>
      <c r="L54">
        <v>220</v>
      </c>
      <c r="M54">
        <v>49777768</v>
      </c>
      <c r="N54">
        <v>559</v>
      </c>
      <c r="O54">
        <v>24872376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6819</v>
      </c>
      <c r="C58">
        <v>1999</v>
      </c>
      <c r="D58">
        <v>1972</v>
      </c>
      <c r="E58">
        <v>1081</v>
      </c>
      <c r="F58">
        <v>390</v>
      </c>
      <c r="G58">
        <v>390</v>
      </c>
      <c r="H58">
        <v>1596</v>
      </c>
      <c r="I58">
        <v>124</v>
      </c>
      <c r="J58">
        <v>80</v>
      </c>
    </row>
    <row r="59" spans="2:15" x14ac:dyDescent="0.25">
      <c r="B59">
        <v>6815</v>
      </c>
      <c r="C59">
        <v>2007</v>
      </c>
      <c r="D59">
        <v>1950</v>
      </c>
      <c r="E59">
        <v>1095</v>
      </c>
      <c r="F59">
        <v>399</v>
      </c>
      <c r="G59">
        <v>402</v>
      </c>
      <c r="H59">
        <v>1628</v>
      </c>
      <c r="I59">
        <v>123</v>
      </c>
      <c r="J59">
        <v>79</v>
      </c>
    </row>
    <row r="60" spans="2:15" x14ac:dyDescent="0.25">
      <c r="B60">
        <v>6794</v>
      </c>
      <c r="C60">
        <v>1989</v>
      </c>
      <c r="D60">
        <v>1988</v>
      </c>
      <c r="E60">
        <v>1072</v>
      </c>
      <c r="F60">
        <v>389</v>
      </c>
      <c r="G60">
        <v>384</v>
      </c>
      <c r="H60">
        <v>1608</v>
      </c>
      <c r="I60">
        <v>126</v>
      </c>
      <c r="J60">
        <v>82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35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AVERAGE(Table23[Newtonsoft (duration)]) - J38</f>
        <v>14630.333333333332</v>
      </c>
      <c r="D38" s="2">
        <f>AVERAGE(Table23[Revenj.NET full (duration)]) - J38</f>
        <v>8416.6666666666661</v>
      </c>
      <c r="E38" s="2">
        <f>AVERAGE(Table23[Revenj.NET minimal (duration)]) - J38</f>
        <v>8378</v>
      </c>
      <c r="F38" s="2">
        <f>AVERAGE(Table23[Jackson (duration)]) - J39</f>
        <v>3377.3333333333335</v>
      </c>
      <c r="G38" s="2">
        <f>AVERAGE(Table23[DSL client Java full (duration)]) - J39</f>
        <v>1642.3333333333333</v>
      </c>
      <c r="H38" s="2">
        <f>AVERAGE(Table23[DSL client Java minimal (duration)]) - J39</f>
        <v>1611.6666666666667</v>
      </c>
      <c r="I38" s="2">
        <f>AVERAGE(Table23[Protobuf.NET (duration)]) - J38</f>
        <v>4296</v>
      </c>
      <c r="J38" s="2">
        <f>AVERAGE(Table24[.NET (instance only)])</f>
        <v>1275.3333333333333</v>
      </c>
      <c r="K38" s="2">
        <f>AVERAGE(Table24[JVM (instance only)])</f>
        <v>455.33333333333331</v>
      </c>
    </row>
    <row r="39" spans="2:11" x14ac:dyDescent="0.25">
      <c r="B39" t="s">
        <v>3</v>
      </c>
      <c r="C39" s="2">
        <f>C40-C38</f>
        <v>52004.666666666672</v>
      </c>
      <c r="D39" s="2">
        <f t="shared" ref="D39:I39" si="0">D40-D38</f>
        <v>10930.66666666667</v>
      </c>
      <c r="E39" s="2">
        <f t="shared" si="0"/>
        <v>10588</v>
      </c>
      <c r="F39" s="2">
        <f t="shared" ref="F39:H39" si="1">F40-F38</f>
        <v>3510.9999999999995</v>
      </c>
      <c r="G39" s="2">
        <f t="shared" si="1"/>
        <v>1443.3333333333333</v>
      </c>
      <c r="H39" s="2">
        <f t="shared" si="1"/>
        <v>1481.3333333333333</v>
      </c>
      <c r="I39" s="2">
        <f t="shared" si="0"/>
        <v>10110</v>
      </c>
      <c r="J39" s="2"/>
      <c r="K39" s="2"/>
    </row>
    <row r="40" spans="2:11" x14ac:dyDescent="0.25">
      <c r="B40" t="s">
        <v>1</v>
      </c>
      <c r="C40" s="2">
        <f>AVERAGE(Table24[Newtonsoft (duration)]) - J38</f>
        <v>66635</v>
      </c>
      <c r="D40" s="2">
        <f>AVERAGE(Table24[Revenj.NET full (duration)]) - J38</f>
        <v>19347.333333333336</v>
      </c>
      <c r="E40" s="2">
        <f>AVERAGE(Table24[Revenj.NET minimal (duration)]) - J38</f>
        <v>18966</v>
      </c>
      <c r="F40" s="2">
        <f>AVERAGE(Table24[Jackson (duration)]) - J39</f>
        <v>6888.333333333333</v>
      </c>
      <c r="G40" s="2">
        <f>AVERAGE(Table24[DSL client Java full (duration)]) - J39</f>
        <v>3085.6666666666665</v>
      </c>
      <c r="H40" s="2">
        <f>AVERAGE(Table24[DSL client Java minimal (duration)]) - J39</f>
        <v>3093</v>
      </c>
      <c r="I40" s="2">
        <f>AVERAGE(Table24[Protobuf.NET (duration)]) - J38</f>
        <v>14406</v>
      </c>
      <c r="J40" s="2"/>
      <c r="K40" s="2"/>
    </row>
    <row r="41" spans="2:11" x14ac:dyDescent="0.25">
      <c r="B41" t="s">
        <v>8</v>
      </c>
      <c r="C41" s="3">
        <f>AVERAGE(Table23[Newtonsoft (size)])</f>
        <v>517777768</v>
      </c>
      <c r="D41" s="3">
        <f>AVERAGE(Table23[Revenj.NET full (size)])</f>
        <v>517777780</v>
      </c>
      <c r="E41" s="3">
        <f>AVERAGE(Table23[Revenj.NET minimal (size)])</f>
        <v>517777768</v>
      </c>
      <c r="F41" s="3">
        <f>AVERAGE(Table23[Jackson (size)])</f>
        <v>517777780</v>
      </c>
      <c r="G41" s="3">
        <f>AVERAGE(Table23[DSL client Java full (size)])</f>
        <v>517777780</v>
      </c>
      <c r="H41" s="3">
        <f>AVERAGE(Table23[DSL client Java minimal (size)])</f>
        <v>517777768</v>
      </c>
      <c r="I41" s="3">
        <f>AVERAGE(Table23[Protobuf.NET (size)])</f>
        <v>266775224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DEVSQ(Table23[Newtonsoft (duration)])</f>
        <v>16064.666666666666</v>
      </c>
      <c r="D46" s="2">
        <f>DEVSQ(Table23[Revenj.NET full (duration)])</f>
        <v>1014</v>
      </c>
      <c r="E46" s="2">
        <f>DEVSQ(Table23[Revenj.NET minimal (duration)])</f>
        <v>2400.666666666667</v>
      </c>
      <c r="F46" s="2">
        <f>DEVSQ(Table23[Jackson (duration)])</f>
        <v>5418.666666666667</v>
      </c>
      <c r="G46" s="2">
        <f>DEVSQ(Table23[DSL client Java full (duration)])</f>
        <v>32.666666666666671</v>
      </c>
      <c r="H46" s="2">
        <f>DEVSQ(Table23[DSL client Java minimal (duration)])</f>
        <v>482.66666666666669</v>
      </c>
      <c r="I46" s="2">
        <f>DEVSQ(Table23[Protobuf.NET (duration)])</f>
        <v>152052.66666666666</v>
      </c>
    </row>
    <row r="47" spans="2:11" x14ac:dyDescent="0.25">
      <c r="B47" t="s">
        <v>1</v>
      </c>
      <c r="C47" s="2">
        <f>DEVSQ(Table24[Newtonsoft (duration)])</f>
        <v>3379208.6666666665</v>
      </c>
      <c r="D47" s="2">
        <f>DEVSQ(Table24[Revenj.NET full (duration)])</f>
        <v>25968.666666666664</v>
      </c>
      <c r="E47" s="2">
        <f>DEVSQ(Table24[Revenj.NET minimal (duration)])</f>
        <v>15232.666666666666</v>
      </c>
      <c r="F47" s="2">
        <f>DEVSQ(Table24[Jackson (duration)])</f>
        <v>45234.666666666672</v>
      </c>
      <c r="G47" s="2">
        <f>DEVSQ(Table24[DSL client Java full (duration)])</f>
        <v>508.66666666666663</v>
      </c>
      <c r="H47" s="2">
        <f>DEVSQ(Table24[DSL client Java minimal (duration)])</f>
        <v>698</v>
      </c>
      <c r="I47" s="2">
        <f>DEVSQ(Table24[Protobuf.NET (duration)])</f>
        <v>411352.66666666663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15986</v>
      </c>
      <c r="C52">
        <v>517777768</v>
      </c>
      <c r="D52">
        <v>9679</v>
      </c>
      <c r="E52">
        <v>517777780</v>
      </c>
      <c r="F52">
        <v>9617</v>
      </c>
      <c r="G52">
        <v>517777768</v>
      </c>
      <c r="H52">
        <v>3324</v>
      </c>
      <c r="I52">
        <v>517777780</v>
      </c>
      <c r="J52">
        <v>1646</v>
      </c>
      <c r="K52">
        <v>517777780</v>
      </c>
      <c r="L52">
        <v>1607</v>
      </c>
      <c r="M52">
        <v>517777768</v>
      </c>
      <c r="N52">
        <v>5394</v>
      </c>
      <c r="O52">
        <v>266775224</v>
      </c>
    </row>
    <row r="53" spans="2:15" x14ac:dyDescent="0.25">
      <c r="B53">
        <v>15809</v>
      </c>
      <c r="C53">
        <v>517777768</v>
      </c>
      <c r="D53">
        <v>9679</v>
      </c>
      <c r="E53">
        <v>517777780</v>
      </c>
      <c r="F53">
        <v>9657</v>
      </c>
      <c r="G53">
        <v>517777768</v>
      </c>
      <c r="H53">
        <v>3428</v>
      </c>
      <c r="I53">
        <v>517777780</v>
      </c>
      <c r="J53">
        <v>1643</v>
      </c>
      <c r="K53">
        <v>517777780</v>
      </c>
      <c r="L53">
        <v>1599</v>
      </c>
      <c r="M53">
        <v>517777768</v>
      </c>
      <c r="N53">
        <v>5431</v>
      </c>
      <c r="O53">
        <v>266775224</v>
      </c>
    </row>
    <row r="54" spans="2:15" x14ac:dyDescent="0.25">
      <c r="B54">
        <v>15922</v>
      </c>
      <c r="C54">
        <v>517777768</v>
      </c>
      <c r="D54">
        <v>9718</v>
      </c>
      <c r="E54">
        <v>517777780</v>
      </c>
      <c r="F54">
        <v>9686</v>
      </c>
      <c r="G54">
        <v>517777768</v>
      </c>
      <c r="H54">
        <v>3380</v>
      </c>
      <c r="I54">
        <v>517777780</v>
      </c>
      <c r="J54">
        <v>1638</v>
      </c>
      <c r="K54">
        <v>517777780</v>
      </c>
      <c r="L54">
        <v>1629</v>
      </c>
      <c r="M54">
        <v>517777768</v>
      </c>
      <c r="N54">
        <v>5889</v>
      </c>
      <c r="O54">
        <v>266775224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68736</v>
      </c>
      <c r="C58">
        <v>20742</v>
      </c>
      <c r="D58">
        <v>20171</v>
      </c>
      <c r="E58">
        <v>7017</v>
      </c>
      <c r="F58">
        <v>3068</v>
      </c>
      <c r="G58">
        <v>3073</v>
      </c>
      <c r="H58">
        <v>15354</v>
      </c>
      <c r="I58">
        <v>1264</v>
      </c>
      <c r="J58">
        <v>457</v>
      </c>
    </row>
    <row r="59" spans="2:15" x14ac:dyDescent="0.25">
      <c r="B59">
        <v>68583</v>
      </c>
      <c r="C59">
        <v>20515</v>
      </c>
      <c r="D59">
        <v>20214</v>
      </c>
      <c r="E59">
        <v>6925</v>
      </c>
      <c r="F59">
        <v>3099</v>
      </c>
      <c r="G59">
        <v>3110</v>
      </c>
      <c r="H59">
        <v>16199</v>
      </c>
      <c r="I59">
        <v>1257</v>
      </c>
      <c r="J59">
        <v>446</v>
      </c>
    </row>
    <row r="60" spans="2:15" x14ac:dyDescent="0.25">
      <c r="B60">
        <v>66412</v>
      </c>
      <c r="C60">
        <v>20611</v>
      </c>
      <c r="D60">
        <v>20339</v>
      </c>
      <c r="E60">
        <v>6723</v>
      </c>
      <c r="F60">
        <v>3090</v>
      </c>
      <c r="G60">
        <v>3096</v>
      </c>
      <c r="H60">
        <v>15491</v>
      </c>
      <c r="I60">
        <v>1305</v>
      </c>
      <c r="J60">
        <v>463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36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AVERAGE(Table27[Newtonsoft (duration)]) - J38</f>
        <v>335</v>
      </c>
      <c r="D38" s="2">
        <f>AVERAGE(Table27[Revenj.NET full (duration)]) - J38</f>
        <v>91</v>
      </c>
      <c r="E38" s="2">
        <f>AVERAGE(Table27[Revenj.NET minimal (duration)]) - J38</f>
        <v>89.666666666666671</v>
      </c>
      <c r="F38" s="2">
        <f>AVERAGE(Table27[Jackson (duration)]) - J39</f>
        <v>203</v>
      </c>
      <c r="G38" s="2">
        <f>AVERAGE(Table27[DSL client Java full (duration)]) - J39</f>
        <v>157.33333333333334</v>
      </c>
      <c r="H38" s="2">
        <f>AVERAGE(Table27[DSL client Java minimal (duration)]) - J39</f>
        <v>155.33333333333334</v>
      </c>
      <c r="I38" s="2">
        <f>AVERAGE(Table27[Protobuf.NET (duration)]) - J38</f>
        <v>51.333333333333329</v>
      </c>
      <c r="J38" s="2">
        <f>AVERAGE(Table28[.NET (instance only)])</f>
        <v>25</v>
      </c>
      <c r="K38" s="2">
        <f>AVERAGE(Table28[JVM (instance only)])</f>
        <v>83.666666666666671</v>
      </c>
    </row>
    <row r="39" spans="2:11" x14ac:dyDescent="0.25">
      <c r="B39" t="s">
        <v>3</v>
      </c>
      <c r="C39" s="2">
        <f>C40-C38</f>
        <v>847.33333333333326</v>
      </c>
      <c r="D39" s="2">
        <f t="shared" ref="D39:I39" si="0">D40-D38</f>
        <v>921.33333333333326</v>
      </c>
      <c r="E39" s="2">
        <f t="shared" si="0"/>
        <v>932.00000000000011</v>
      </c>
      <c r="F39" s="2">
        <f t="shared" ref="F39:H39" si="1">F40-F38</f>
        <v>185</v>
      </c>
      <c r="G39" s="2">
        <f t="shared" si="1"/>
        <v>72.333333333333314</v>
      </c>
      <c r="H39" s="2">
        <f t="shared" si="1"/>
        <v>80.666666666666657</v>
      </c>
      <c r="I39" s="2">
        <f t="shared" si="0"/>
        <v>79.333333333333329</v>
      </c>
      <c r="J39" s="2"/>
      <c r="K39" s="2"/>
    </row>
    <row r="40" spans="2:11" x14ac:dyDescent="0.25">
      <c r="B40" t="s">
        <v>1</v>
      </c>
      <c r="C40" s="2">
        <f>AVERAGE(Table28[Newtonsoft (duration)]) - J38</f>
        <v>1182.3333333333333</v>
      </c>
      <c r="D40" s="2">
        <f>AVERAGE(Table28[Revenj.NET full (duration)]) - J38</f>
        <v>1012.3333333333333</v>
      </c>
      <c r="E40" s="2">
        <f>AVERAGE(Table28[Revenj.NET minimal (duration)]) - J38</f>
        <v>1021.6666666666667</v>
      </c>
      <c r="F40" s="2">
        <f>AVERAGE(Table28[Jackson (duration)]) - J39</f>
        <v>388</v>
      </c>
      <c r="G40" s="2">
        <f>AVERAGE(Table28[DSL client Java full (duration)]) - J39</f>
        <v>229.66666666666666</v>
      </c>
      <c r="H40" s="2">
        <f>AVERAGE(Table28[DSL client Java minimal (duration)]) - J39</f>
        <v>236</v>
      </c>
      <c r="I40" s="2">
        <f>AVERAGE(Table28[Protobuf.NET (duration)]) - J38</f>
        <v>130.66666666666666</v>
      </c>
      <c r="J40" s="2"/>
      <c r="K40" s="2"/>
    </row>
    <row r="41" spans="2:11" x14ac:dyDescent="0.25">
      <c r="B41" t="s">
        <v>8</v>
      </c>
      <c r="C41" s="3">
        <f>AVERAGE(Table27[Newtonsoft (size)])</f>
        <v>5725322</v>
      </c>
      <c r="D41" s="3">
        <f>AVERAGE(Table27[Revenj.NET full (size)])</f>
        <v>5724943</v>
      </c>
      <c r="E41" s="3">
        <f>AVERAGE(Table27[Revenj.NET minimal (size)])</f>
        <v>5724926</v>
      </c>
      <c r="F41" s="3">
        <f>AVERAGE(Table27[Jackson (size)])</f>
        <v>4477194</v>
      </c>
      <c r="G41" s="3">
        <f>AVERAGE(Table27[DSL client Java full (size)])</f>
        <v>4477190</v>
      </c>
      <c r="H41" s="3">
        <f>AVERAGE(Table27[DSL client Java minimal (size)])</f>
        <v>4477173</v>
      </c>
      <c r="I41" s="3">
        <f>AVERAGE(Table27[Protobuf.NET (size)])</f>
        <v>2921810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DEVSQ(Table27[Newtonsoft (duration)])</f>
        <v>6</v>
      </c>
      <c r="D46" s="2">
        <f>DEVSQ(Table27[Revenj.NET full (duration)])</f>
        <v>2</v>
      </c>
      <c r="E46" s="2">
        <f>DEVSQ(Table27[Revenj.NET minimal (duration)])</f>
        <v>0.66666666666666663</v>
      </c>
      <c r="F46" s="2">
        <f>DEVSQ(Table27[Jackson (duration)])</f>
        <v>206</v>
      </c>
      <c r="G46" s="2">
        <f>DEVSQ(Table27[DSL client Java full (duration)])</f>
        <v>2.6666666666666665</v>
      </c>
      <c r="H46" s="2">
        <f>DEVSQ(Table27[DSL client Java minimal (duration)])</f>
        <v>4.6666666666666661</v>
      </c>
      <c r="I46" s="2">
        <f>DEVSQ(Table27[Protobuf.NET (duration)])</f>
        <v>0.66666666666666663</v>
      </c>
    </row>
    <row r="47" spans="2:11" x14ac:dyDescent="0.25">
      <c r="B47" t="s">
        <v>1</v>
      </c>
      <c r="C47" s="2">
        <f>DEVSQ(Table28[Newtonsoft (duration)])</f>
        <v>228.66666666666666</v>
      </c>
      <c r="D47" s="2">
        <f>DEVSQ(Table28[Revenj.NET full (duration)])</f>
        <v>2.6666666666666665</v>
      </c>
      <c r="E47" s="2">
        <f>DEVSQ(Table28[Revenj.NET minimal (duration)])</f>
        <v>60.666666666666664</v>
      </c>
      <c r="F47" s="2">
        <f>DEVSQ(Table28[Jackson (duration)])</f>
        <v>122</v>
      </c>
      <c r="G47" s="2">
        <f>DEVSQ(Table28[DSL client Java full (duration)])</f>
        <v>4.666666666666667</v>
      </c>
      <c r="H47" s="2">
        <f>DEVSQ(Table28[DSL client Java minimal (duration)])</f>
        <v>26</v>
      </c>
      <c r="I47" s="2">
        <f>DEVSQ(Table28[Protobuf.NET (duration)])</f>
        <v>2.6666666666666665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362</v>
      </c>
      <c r="C52">
        <v>5725322</v>
      </c>
      <c r="D52">
        <v>116</v>
      </c>
      <c r="E52">
        <v>5724943</v>
      </c>
      <c r="F52">
        <v>115</v>
      </c>
      <c r="G52">
        <v>5724926</v>
      </c>
      <c r="H52">
        <v>212</v>
      </c>
      <c r="I52">
        <v>4477194</v>
      </c>
      <c r="J52">
        <v>158</v>
      </c>
      <c r="K52">
        <v>4477190</v>
      </c>
      <c r="L52">
        <v>157</v>
      </c>
      <c r="M52">
        <v>4477173</v>
      </c>
      <c r="N52">
        <v>77</v>
      </c>
      <c r="O52">
        <v>2921810</v>
      </c>
    </row>
    <row r="53" spans="2:15" x14ac:dyDescent="0.25">
      <c r="B53">
        <v>359</v>
      </c>
      <c r="C53">
        <v>5725322</v>
      </c>
      <c r="D53">
        <v>117</v>
      </c>
      <c r="E53">
        <v>5724943</v>
      </c>
      <c r="F53">
        <v>115</v>
      </c>
      <c r="G53">
        <v>5724926</v>
      </c>
      <c r="H53">
        <v>205</v>
      </c>
      <c r="I53">
        <v>4477194</v>
      </c>
      <c r="J53">
        <v>158</v>
      </c>
      <c r="K53">
        <v>4477190</v>
      </c>
      <c r="L53">
        <v>155</v>
      </c>
      <c r="M53">
        <v>4477173</v>
      </c>
      <c r="N53">
        <v>76</v>
      </c>
      <c r="O53">
        <v>2921810</v>
      </c>
    </row>
    <row r="54" spans="2:15" x14ac:dyDescent="0.25">
      <c r="B54">
        <v>359</v>
      </c>
      <c r="C54">
        <v>5725322</v>
      </c>
      <c r="D54">
        <v>115</v>
      </c>
      <c r="E54">
        <v>5724943</v>
      </c>
      <c r="F54">
        <v>114</v>
      </c>
      <c r="G54">
        <v>5724926</v>
      </c>
      <c r="H54">
        <v>192</v>
      </c>
      <c r="I54">
        <v>4477194</v>
      </c>
      <c r="J54">
        <v>156</v>
      </c>
      <c r="K54">
        <v>4477190</v>
      </c>
      <c r="L54">
        <v>154</v>
      </c>
      <c r="M54">
        <v>4477173</v>
      </c>
      <c r="N54">
        <v>76</v>
      </c>
      <c r="O54">
        <v>2921810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1205</v>
      </c>
      <c r="C58">
        <v>1036</v>
      </c>
      <c r="D58">
        <v>1044</v>
      </c>
      <c r="E58">
        <v>397</v>
      </c>
      <c r="F58">
        <v>228</v>
      </c>
      <c r="G58">
        <v>232</v>
      </c>
      <c r="H58">
        <v>155</v>
      </c>
      <c r="I58">
        <v>25</v>
      </c>
      <c r="J58">
        <v>83</v>
      </c>
    </row>
    <row r="59" spans="2:15" x14ac:dyDescent="0.25">
      <c r="B59">
        <v>1198</v>
      </c>
      <c r="C59">
        <v>1038</v>
      </c>
      <c r="D59">
        <v>1043</v>
      </c>
      <c r="E59">
        <v>383</v>
      </c>
      <c r="F59">
        <v>231</v>
      </c>
      <c r="G59">
        <v>237</v>
      </c>
      <c r="H59">
        <v>157</v>
      </c>
      <c r="I59">
        <v>25</v>
      </c>
      <c r="J59">
        <v>85</v>
      </c>
    </row>
    <row r="60" spans="2:15" x14ac:dyDescent="0.25">
      <c r="B60">
        <v>1219</v>
      </c>
      <c r="C60">
        <v>1038</v>
      </c>
      <c r="D60">
        <v>1053</v>
      </c>
      <c r="E60">
        <v>384</v>
      </c>
      <c r="F60">
        <v>230</v>
      </c>
      <c r="G60">
        <v>239</v>
      </c>
      <c r="H60">
        <v>155</v>
      </c>
      <c r="I60">
        <v>25</v>
      </c>
      <c r="J60">
        <v>83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37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AVERAGE(Table31[Newtonsoft (duration)]) - J38</f>
        <v>3410.333333333333</v>
      </c>
      <c r="D38" s="2">
        <f>AVERAGE(Table31[Revenj.NET full (duration)]) - J38</f>
        <v>913.33333333333337</v>
      </c>
      <c r="E38" s="2">
        <f>AVERAGE(Table31[Revenj.NET minimal (duration)]) - J38</f>
        <v>893.33333333333337</v>
      </c>
      <c r="F38" s="2">
        <f>AVERAGE(Table31[Jackson (duration)]) - J39</f>
        <v>1085.6666666666667</v>
      </c>
      <c r="G38" s="2">
        <f>AVERAGE(Table31[DSL client Java full (duration)]) - J39</f>
        <v>665.33333333333337</v>
      </c>
      <c r="H38" s="2">
        <f>AVERAGE(Table31[DSL client Java minimal (duration)]) - J39</f>
        <v>670.66666666666663</v>
      </c>
      <c r="I38" s="2">
        <f>AVERAGE(Table31[Protobuf.NET (duration)]) - J38</f>
        <v>492</v>
      </c>
      <c r="J38" s="2">
        <f>AVERAGE(Table32[.NET (instance only)])</f>
        <v>244.33333333333334</v>
      </c>
      <c r="K38" s="2">
        <f>AVERAGE(Table32[JVM (instance only)])</f>
        <v>400.33333333333331</v>
      </c>
    </row>
    <row r="39" spans="2:11" x14ac:dyDescent="0.25">
      <c r="B39" t="s">
        <v>3</v>
      </c>
      <c r="C39" s="2">
        <f>C40-C38</f>
        <v>8570.3333333333321</v>
      </c>
      <c r="D39" s="2">
        <f t="shared" ref="D39:I39" si="0">D40-D38</f>
        <v>9031.9999999999982</v>
      </c>
      <c r="E39" s="2">
        <f t="shared" si="0"/>
        <v>9137.6666666666661</v>
      </c>
      <c r="F39" s="2">
        <f t="shared" ref="F39:H39" si="1">F40-F38</f>
        <v>1120.9999999999998</v>
      </c>
      <c r="G39" s="2">
        <f t="shared" si="1"/>
        <v>387.33333333333337</v>
      </c>
      <c r="H39" s="2">
        <f t="shared" si="1"/>
        <v>359.66666666666663</v>
      </c>
      <c r="I39" s="2">
        <f t="shared" si="0"/>
        <v>784</v>
      </c>
      <c r="J39" s="2"/>
      <c r="K39" s="2"/>
    </row>
    <row r="40" spans="2:11" x14ac:dyDescent="0.25">
      <c r="B40" t="s">
        <v>1</v>
      </c>
      <c r="C40" s="2">
        <f>AVERAGE(Table32[Newtonsoft (duration)]) - J38</f>
        <v>11980.666666666666</v>
      </c>
      <c r="D40" s="2">
        <f>AVERAGE(Table32[Revenj.NET full (duration)]) - J38</f>
        <v>9945.3333333333321</v>
      </c>
      <c r="E40" s="2">
        <f>AVERAGE(Table32[Revenj.NET minimal (duration)]) - J38</f>
        <v>10031</v>
      </c>
      <c r="F40" s="2">
        <f>AVERAGE(Table32[Jackson (duration)]) - J39</f>
        <v>2206.6666666666665</v>
      </c>
      <c r="G40" s="2">
        <f>AVERAGE(Table32[DSL client Java full (duration)]) - J39</f>
        <v>1052.6666666666667</v>
      </c>
      <c r="H40" s="2">
        <f>AVERAGE(Table32[DSL client Java minimal (duration)]) - J39</f>
        <v>1030.3333333333333</v>
      </c>
      <c r="I40" s="2">
        <f>AVERAGE(Table32[Protobuf.NET (duration)]) - J38</f>
        <v>1276</v>
      </c>
      <c r="J40" s="2"/>
      <c r="K40" s="2"/>
    </row>
    <row r="41" spans="2:11" x14ac:dyDescent="0.25">
      <c r="B41" t="s">
        <v>8</v>
      </c>
      <c r="C41" s="3">
        <f>AVERAGE(Table31[Newtonsoft (size)])</f>
        <v>59249265</v>
      </c>
      <c r="D41" s="3">
        <f>AVERAGE(Table31[Revenj.NET full (size)])</f>
        <v>59245286</v>
      </c>
      <c r="E41" s="3">
        <f>AVERAGE(Table31[Revenj.NET minimal (size)])</f>
        <v>59245269</v>
      </c>
      <c r="F41" s="3">
        <f>AVERAGE(Table31[Jackson (size)])</f>
        <v>46514394</v>
      </c>
      <c r="G41" s="3">
        <f>AVERAGE(Table31[DSL client Java full (size)])</f>
        <v>46514390</v>
      </c>
      <c r="H41" s="3">
        <f>AVERAGE(Table31[DSL client Java minimal (size)])</f>
        <v>46514373</v>
      </c>
      <c r="I41" s="3">
        <f>AVERAGE(Table31[Protobuf.NET (size)])</f>
        <v>29374542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DEVSQ(Table31[Newtonsoft (duration)])</f>
        <v>8392.6666666666661</v>
      </c>
      <c r="D46" s="2">
        <f>DEVSQ(Table31[Revenj.NET full (duration)])</f>
        <v>80.666666666666657</v>
      </c>
      <c r="E46" s="2">
        <f>DEVSQ(Table31[Revenj.NET minimal (duration)])</f>
        <v>28.666666666666668</v>
      </c>
      <c r="F46" s="2">
        <f>DEVSQ(Table31[Jackson (duration)])</f>
        <v>492.66666666666674</v>
      </c>
      <c r="G46" s="2">
        <f>DEVSQ(Table31[DSL client Java full (duration)])</f>
        <v>72.666666666666657</v>
      </c>
      <c r="H46" s="2">
        <f>DEVSQ(Table31[DSL client Java minimal (duration)])</f>
        <v>284.66666666666669</v>
      </c>
      <c r="I46" s="2">
        <f>DEVSQ(Table31[Protobuf.NET (duration)])</f>
        <v>60.666666666666664</v>
      </c>
    </row>
    <row r="47" spans="2:11" x14ac:dyDescent="0.25">
      <c r="B47" t="s">
        <v>1</v>
      </c>
      <c r="C47" s="2">
        <f>DEVSQ(Table32[Newtonsoft (duration)])</f>
        <v>88614</v>
      </c>
      <c r="D47" s="2">
        <f>DEVSQ(Table32[Revenj.NET full (duration)])</f>
        <v>1740.6666666666667</v>
      </c>
      <c r="E47" s="2">
        <f>DEVSQ(Table32[Revenj.NET minimal (duration)])</f>
        <v>16808.666666666664</v>
      </c>
      <c r="F47" s="2">
        <f>DEVSQ(Table32[Jackson (duration)])</f>
        <v>172.66666666666669</v>
      </c>
      <c r="G47" s="2">
        <f>DEVSQ(Table32[DSL client Java full (duration)])</f>
        <v>528.66666666666674</v>
      </c>
      <c r="H47" s="2">
        <f>DEVSQ(Table32[DSL client Java minimal (duration)])</f>
        <v>994.66666666666674</v>
      </c>
      <c r="I47" s="2">
        <f>DEVSQ(Table32[Protobuf.NET (duration)])</f>
        <v>32.666666666666664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3727</v>
      </c>
      <c r="C52">
        <v>59249265</v>
      </c>
      <c r="D52">
        <v>1154</v>
      </c>
      <c r="E52">
        <v>59245286</v>
      </c>
      <c r="F52">
        <v>1135</v>
      </c>
      <c r="G52">
        <v>59245269</v>
      </c>
      <c r="H52">
        <v>1091</v>
      </c>
      <c r="I52">
        <v>46514394</v>
      </c>
      <c r="J52">
        <v>666</v>
      </c>
      <c r="K52">
        <v>46514390</v>
      </c>
      <c r="L52">
        <v>657</v>
      </c>
      <c r="M52">
        <v>46514373</v>
      </c>
      <c r="N52">
        <v>742</v>
      </c>
      <c r="O52">
        <v>29374542</v>
      </c>
    </row>
    <row r="53" spans="2:15" x14ac:dyDescent="0.25">
      <c r="B53">
        <v>3602</v>
      </c>
      <c r="C53">
        <v>59249265</v>
      </c>
      <c r="D53">
        <v>1165</v>
      </c>
      <c r="E53">
        <v>59245286</v>
      </c>
      <c r="F53">
        <v>1136</v>
      </c>
      <c r="G53">
        <v>59245269</v>
      </c>
      <c r="H53">
        <v>1068</v>
      </c>
      <c r="I53">
        <v>46514394</v>
      </c>
      <c r="J53">
        <v>671</v>
      </c>
      <c r="K53">
        <v>46514390</v>
      </c>
      <c r="L53">
        <v>679</v>
      </c>
      <c r="M53">
        <v>46514373</v>
      </c>
      <c r="N53">
        <v>736</v>
      </c>
      <c r="O53">
        <v>29374542</v>
      </c>
    </row>
    <row r="54" spans="2:15" x14ac:dyDescent="0.25">
      <c r="B54">
        <v>3635</v>
      </c>
      <c r="C54">
        <v>59249265</v>
      </c>
      <c r="D54">
        <v>1154</v>
      </c>
      <c r="E54">
        <v>59245286</v>
      </c>
      <c r="F54">
        <v>1142</v>
      </c>
      <c r="G54">
        <v>59245269</v>
      </c>
      <c r="H54">
        <v>1098</v>
      </c>
      <c r="I54">
        <v>46514394</v>
      </c>
      <c r="J54">
        <v>659</v>
      </c>
      <c r="K54">
        <v>46514390</v>
      </c>
      <c r="L54">
        <v>676</v>
      </c>
      <c r="M54">
        <v>46514373</v>
      </c>
      <c r="N54">
        <v>731</v>
      </c>
      <c r="O54">
        <v>29374542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12468</v>
      </c>
      <c r="C58">
        <v>10202</v>
      </c>
      <c r="D58">
        <v>10217</v>
      </c>
      <c r="E58">
        <v>2204</v>
      </c>
      <c r="F58">
        <v>1047</v>
      </c>
      <c r="G58">
        <v>1047</v>
      </c>
      <c r="H58">
        <v>1524</v>
      </c>
      <c r="I58">
        <v>244</v>
      </c>
      <c r="J58">
        <v>404</v>
      </c>
    </row>
    <row r="59" spans="2:15" x14ac:dyDescent="0.25">
      <c r="B59">
        <v>12108</v>
      </c>
      <c r="C59">
        <v>10156</v>
      </c>
      <c r="D59">
        <v>10381</v>
      </c>
      <c r="E59">
        <v>2199</v>
      </c>
      <c r="F59">
        <v>1071</v>
      </c>
      <c r="G59">
        <v>1005</v>
      </c>
      <c r="H59">
        <v>1516</v>
      </c>
      <c r="I59">
        <v>244</v>
      </c>
      <c r="J59">
        <v>407</v>
      </c>
    </row>
    <row r="60" spans="2:15" x14ac:dyDescent="0.25">
      <c r="B60">
        <v>12099</v>
      </c>
      <c r="C60">
        <v>10211</v>
      </c>
      <c r="D60">
        <v>10228</v>
      </c>
      <c r="E60">
        <v>2217</v>
      </c>
      <c r="F60">
        <v>1040</v>
      </c>
      <c r="G60">
        <v>1039</v>
      </c>
      <c r="H60">
        <v>1521</v>
      </c>
      <c r="I60">
        <v>245</v>
      </c>
      <c r="J60">
        <v>390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38</v>
      </c>
    </row>
    <row r="37" spans="2:11" x14ac:dyDescent="0.25">
      <c r="B37" t="s">
        <v>5</v>
      </c>
      <c r="C37" t="s">
        <v>2</v>
      </c>
      <c r="D37" t="s">
        <v>19</v>
      </c>
      <c r="E37" t="s">
        <v>20</v>
      </c>
      <c r="F37" t="s">
        <v>12</v>
      </c>
      <c r="G37" t="s">
        <v>21</v>
      </c>
      <c r="H37" t="s">
        <v>22</v>
      </c>
      <c r="I37" t="s">
        <v>11</v>
      </c>
      <c r="J37" t="s">
        <v>17</v>
      </c>
      <c r="K37" t="s">
        <v>18</v>
      </c>
    </row>
    <row r="38" spans="2:11" x14ac:dyDescent="0.25">
      <c r="B38" t="s">
        <v>0</v>
      </c>
      <c r="C38" s="2">
        <f>AVERAGE(Table35[Newtonsoft (duration)]) - J38</f>
        <v>33946</v>
      </c>
      <c r="D38" s="2">
        <f>AVERAGE(Table35[Revenj.NET full (duration)]) - J38</f>
        <v>9251</v>
      </c>
      <c r="E38" s="2">
        <f>AVERAGE(Table35[Revenj.NET minimal (duration)]) - J38</f>
        <v>9132.3333333333339</v>
      </c>
      <c r="F38" s="2">
        <f>AVERAGE(Table35[Jackson (duration)]) - J39</f>
        <v>8864.3333333333339</v>
      </c>
      <c r="G38" s="2">
        <f>AVERAGE(Table35[DSL client Java full (duration)]) - J39</f>
        <v>5861</v>
      </c>
      <c r="H38" s="2">
        <f>AVERAGE(Table35[DSL client Java minimal (duration)]) - J39</f>
        <v>5847.333333333333</v>
      </c>
      <c r="I38" s="2">
        <f>AVERAGE(Table35[Protobuf.NET (duration)]) - J38</f>
        <v>4790.666666666667</v>
      </c>
      <c r="J38" s="2">
        <f>AVERAGE(Table36[.NET (instance only)])</f>
        <v>2404</v>
      </c>
      <c r="K38" s="2">
        <f>AVERAGE(Table36[JVM (instance only)])</f>
        <v>3229.3333333333335</v>
      </c>
    </row>
    <row r="39" spans="2:11" x14ac:dyDescent="0.25">
      <c r="B39" t="s">
        <v>3</v>
      </c>
      <c r="C39" s="2">
        <f>C40-C38</f>
        <v>86692</v>
      </c>
      <c r="D39" s="2">
        <f t="shared" ref="D39:I39" si="0">D40-D38</f>
        <v>88631</v>
      </c>
      <c r="E39" s="2">
        <f t="shared" si="0"/>
        <v>88572.333333333343</v>
      </c>
      <c r="F39" s="2">
        <f t="shared" ref="F39:H39" si="1">F40-F38</f>
        <v>10290.999999999998</v>
      </c>
      <c r="G39" s="2">
        <f t="shared" si="1"/>
        <v>3110.6666666666661</v>
      </c>
      <c r="H39" s="2">
        <f t="shared" si="1"/>
        <v>3197.666666666667</v>
      </c>
      <c r="I39" s="2">
        <f t="shared" si="0"/>
        <v>7929.666666666667</v>
      </c>
      <c r="J39" s="2"/>
      <c r="K39" s="2"/>
    </row>
    <row r="40" spans="2:11" x14ac:dyDescent="0.25">
      <c r="B40" t="s">
        <v>1</v>
      </c>
      <c r="C40" s="2">
        <f>AVERAGE(Table36[Newtonsoft (duration)]) - J38</f>
        <v>120638</v>
      </c>
      <c r="D40" s="2">
        <f>AVERAGE(Table36[Revenj.NET full (duration)]) - J38</f>
        <v>97882</v>
      </c>
      <c r="E40" s="2">
        <f>AVERAGE(Table36[Revenj.NET minimal (duration)]) - J38</f>
        <v>97704.666666666672</v>
      </c>
      <c r="F40" s="2">
        <f>AVERAGE(Table36[Jackson (duration)]) - J39</f>
        <v>19155.333333333332</v>
      </c>
      <c r="G40" s="2">
        <f>AVERAGE(Table36[DSL client Java full (duration)]) - J39</f>
        <v>8971.6666666666661</v>
      </c>
      <c r="H40" s="2">
        <f>AVERAGE(Table36[DSL client Java minimal (duration)]) - J39</f>
        <v>9045</v>
      </c>
      <c r="I40" s="2">
        <f>AVERAGE(Table36[Protobuf.NET (duration)]) - J38</f>
        <v>12720.333333333334</v>
      </c>
      <c r="J40" s="2"/>
      <c r="K40" s="2"/>
    </row>
    <row r="41" spans="2:11" x14ac:dyDescent="0.25">
      <c r="B41" t="s">
        <v>8</v>
      </c>
      <c r="C41" s="3">
        <f>AVERAGE(Table35[Newtonsoft (size)])</f>
        <v>612560699</v>
      </c>
      <c r="D41" s="3">
        <f>AVERAGE(Table35[Revenj.NET full (size)])</f>
        <v>612520720</v>
      </c>
      <c r="E41" s="3">
        <f>AVERAGE(Table35[Revenj.NET minimal (size)])</f>
        <v>612520703</v>
      </c>
      <c r="F41" s="3">
        <f>AVERAGE(Table35[Jackson (size)])</f>
        <v>471015610</v>
      </c>
      <c r="G41" s="3">
        <f>AVERAGE(Table35[DSL client Java full (size)])</f>
        <v>471015606</v>
      </c>
      <c r="H41" s="3">
        <f>AVERAGE(Table35[DSL client Java minimal (size)])</f>
        <v>471015589</v>
      </c>
      <c r="I41" s="3">
        <f>AVERAGE(Table35[Protobuf.NET (size)])</f>
        <v>301846216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19</v>
      </c>
      <c r="E45" t="s">
        <v>20</v>
      </c>
      <c r="F45" t="s">
        <v>12</v>
      </c>
      <c r="G45" t="s">
        <v>21</v>
      </c>
      <c r="H45" t="s">
        <v>22</v>
      </c>
      <c r="I45" t="s">
        <v>11</v>
      </c>
    </row>
    <row r="46" spans="2:11" x14ac:dyDescent="0.25">
      <c r="B46" t="s">
        <v>0</v>
      </c>
      <c r="C46" s="2">
        <f>DEVSQ(Table35[Newtonsoft (duration)])</f>
        <v>276026</v>
      </c>
      <c r="D46" s="2">
        <f>DEVSQ(Table35[Revenj.NET full (duration)])</f>
        <v>7254</v>
      </c>
      <c r="E46" s="2">
        <f>DEVSQ(Table35[Revenj.NET minimal (duration)])</f>
        <v>10616.666666666666</v>
      </c>
      <c r="F46" s="2">
        <f>DEVSQ(Table35[Jackson (duration)])</f>
        <v>17784.666666666664</v>
      </c>
      <c r="G46" s="2">
        <f>DEVSQ(Table35[DSL client Java full (duration)])</f>
        <v>11714</v>
      </c>
      <c r="H46" s="2">
        <f>DEVSQ(Table35[DSL client Java minimal (duration)])</f>
        <v>2258.6666666666665</v>
      </c>
      <c r="I46" s="2">
        <f>DEVSQ(Table35[Protobuf.NET (duration)])</f>
        <v>116.66666666666669</v>
      </c>
    </row>
    <row r="47" spans="2:11" x14ac:dyDescent="0.25">
      <c r="B47" t="s">
        <v>1</v>
      </c>
      <c r="C47" s="2">
        <f>DEVSQ(Table36[Newtonsoft (duration)])</f>
        <v>4554998</v>
      </c>
      <c r="D47" s="2">
        <f>DEVSQ(Table36[Revenj.NET full (duration)])</f>
        <v>105746</v>
      </c>
      <c r="E47" s="2">
        <f>DEVSQ(Table36[Revenj.NET minimal (duration)])</f>
        <v>19170.666666666668</v>
      </c>
      <c r="F47" s="2">
        <f>DEVSQ(Table36[Jackson (duration)])</f>
        <v>18194.666666666664</v>
      </c>
      <c r="G47" s="2">
        <f>DEVSQ(Table36[DSL client Java full (duration)])</f>
        <v>66488.666666666672</v>
      </c>
      <c r="H47" s="2">
        <f>DEVSQ(Table36[DSL client Java minimal (duration)])</f>
        <v>7496</v>
      </c>
      <c r="I47" s="2">
        <f>DEVSQ(Table36[Protobuf.NET (duration)])</f>
        <v>6184.6666666666661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23</v>
      </c>
      <c r="E51" t="s">
        <v>24</v>
      </c>
      <c r="F51" t="s">
        <v>25</v>
      </c>
      <c r="G51" t="s">
        <v>26</v>
      </c>
      <c r="H51" t="s">
        <v>13</v>
      </c>
      <c r="I51" t="s">
        <v>14</v>
      </c>
      <c r="J51" t="s">
        <v>27</v>
      </c>
      <c r="K51" t="s">
        <v>28</v>
      </c>
      <c r="L51" t="s">
        <v>29</v>
      </c>
      <c r="M51" t="s">
        <v>30</v>
      </c>
      <c r="N51" t="s">
        <v>16</v>
      </c>
      <c r="O51" t="s">
        <v>15</v>
      </c>
    </row>
    <row r="52" spans="2:15" x14ac:dyDescent="0.25">
      <c r="B52">
        <v>36161</v>
      </c>
      <c r="C52">
        <v>612560699</v>
      </c>
      <c r="D52">
        <v>11613</v>
      </c>
      <c r="E52">
        <v>612520720</v>
      </c>
      <c r="F52">
        <v>11453</v>
      </c>
      <c r="G52">
        <v>612520703</v>
      </c>
      <c r="H52">
        <v>8928</v>
      </c>
      <c r="I52">
        <v>471015610</v>
      </c>
      <c r="J52">
        <v>5810</v>
      </c>
      <c r="K52">
        <v>471015606</v>
      </c>
      <c r="L52">
        <v>5818</v>
      </c>
      <c r="M52">
        <v>471015589</v>
      </c>
      <c r="N52">
        <v>7203</v>
      </c>
      <c r="O52">
        <v>301846216</v>
      </c>
    </row>
    <row r="53" spans="2:15" x14ac:dyDescent="0.25">
      <c r="B53">
        <v>36778</v>
      </c>
      <c r="C53">
        <v>612560699</v>
      </c>
      <c r="D53">
        <v>11724</v>
      </c>
      <c r="E53">
        <v>612520720</v>
      </c>
      <c r="F53">
        <v>11568</v>
      </c>
      <c r="G53">
        <v>612520703</v>
      </c>
      <c r="H53">
        <v>8909</v>
      </c>
      <c r="I53">
        <v>471015610</v>
      </c>
      <c r="J53">
        <v>5824</v>
      </c>
      <c r="K53">
        <v>471015606</v>
      </c>
      <c r="L53">
        <v>5884</v>
      </c>
      <c r="M53">
        <v>471015589</v>
      </c>
      <c r="N53">
        <v>7193</v>
      </c>
      <c r="O53">
        <v>301846216</v>
      </c>
    </row>
    <row r="54" spans="2:15" x14ac:dyDescent="0.25">
      <c r="B54">
        <v>36111</v>
      </c>
      <c r="C54">
        <v>612560699</v>
      </c>
      <c r="D54">
        <v>11628</v>
      </c>
      <c r="E54">
        <v>612520720</v>
      </c>
      <c r="F54">
        <v>11588</v>
      </c>
      <c r="G54">
        <v>612520703</v>
      </c>
      <c r="H54">
        <v>8756</v>
      </c>
      <c r="I54">
        <v>471015610</v>
      </c>
      <c r="J54">
        <v>5949</v>
      </c>
      <c r="K54">
        <v>471015606</v>
      </c>
      <c r="L54">
        <v>5840</v>
      </c>
      <c r="M54">
        <v>471015589</v>
      </c>
      <c r="N54">
        <v>7188</v>
      </c>
      <c r="O54">
        <v>301846216</v>
      </c>
    </row>
    <row r="56" spans="2:15" x14ac:dyDescent="0.25">
      <c r="B56" s="1" t="s">
        <v>7</v>
      </c>
    </row>
    <row r="57" spans="2:15" x14ac:dyDescent="0.25">
      <c r="B57" t="s">
        <v>9</v>
      </c>
      <c r="C57" t="s">
        <v>23</v>
      </c>
      <c r="D57" t="s">
        <v>25</v>
      </c>
      <c r="E57" t="s">
        <v>13</v>
      </c>
      <c r="F57" t="s">
        <v>27</v>
      </c>
      <c r="G57" t="s">
        <v>29</v>
      </c>
      <c r="H57" t="s">
        <v>16</v>
      </c>
      <c r="I57" t="s">
        <v>17</v>
      </c>
      <c r="J57" t="s">
        <v>18</v>
      </c>
    </row>
    <row r="58" spans="2:15" x14ac:dyDescent="0.25">
      <c r="B58">
        <v>124255</v>
      </c>
      <c r="C58">
        <v>100069</v>
      </c>
      <c r="D58">
        <v>100220</v>
      </c>
      <c r="E58">
        <v>19052</v>
      </c>
      <c r="F58">
        <v>8959</v>
      </c>
      <c r="G58">
        <v>8981</v>
      </c>
      <c r="H58">
        <v>15078</v>
      </c>
      <c r="I58">
        <v>2400</v>
      </c>
      <c r="J58">
        <v>3195</v>
      </c>
    </row>
    <row r="59" spans="2:15" x14ac:dyDescent="0.25">
      <c r="B59">
        <v>123519</v>
      </c>
      <c r="C59">
        <v>100262</v>
      </c>
      <c r="D59">
        <v>100036</v>
      </c>
      <c r="E59">
        <v>19240</v>
      </c>
      <c r="F59">
        <v>8796</v>
      </c>
      <c r="G59">
        <v>9103</v>
      </c>
      <c r="H59">
        <v>15109</v>
      </c>
      <c r="I59">
        <v>2403</v>
      </c>
      <c r="J59">
        <v>3268</v>
      </c>
    </row>
    <row r="60" spans="2:15" x14ac:dyDescent="0.25">
      <c r="B60">
        <v>121352</v>
      </c>
      <c r="C60">
        <v>100527</v>
      </c>
      <c r="D60">
        <v>100070</v>
      </c>
      <c r="E60">
        <v>19174</v>
      </c>
      <c r="F60">
        <v>9160</v>
      </c>
      <c r="G60">
        <v>9051</v>
      </c>
      <c r="H60">
        <v>15186</v>
      </c>
      <c r="I60">
        <v>2409</v>
      </c>
      <c r="J60">
        <v>3225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Unlicensed version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2015-01-27T16:05:12Z</dcterms:modified>
</cp:coreProperties>
</file>