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 activeTab="1"/>
  </bookViews>
  <sheets>
    <sheet name="Unlicensed version" sheetId="20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  <sheet name="Sheet17" sheetId="17" r:id="rId18"/>
    <sheet name="Sheet18" sheetId="18" r:id="rId19"/>
    <sheet name="Sheet19" sheetId="19" r:id="rId20"/>
  </sheets>
  <calcPr calcId="145621"/>
</workbook>
</file>

<file path=xl/calcChain.xml><?xml version="1.0" encoding="utf-8"?>
<calcChain xmlns="http://schemas.openxmlformats.org/spreadsheetml/2006/main">
  <c r="H40" i="1" l="1"/>
  <c r="H38" i="1"/>
  <c r="G40" i="1"/>
  <c r="G38" i="1"/>
  <c r="F40" i="1"/>
  <c r="F38" i="1"/>
  <c r="K38" i="1" l="1"/>
  <c r="J38" i="1"/>
  <c r="I40" i="1" l="1"/>
  <c r="E40" i="1"/>
  <c r="I38" i="1"/>
  <c r="E38" i="1"/>
  <c r="D40" i="1"/>
  <c r="D38" i="1"/>
  <c r="C40" i="1"/>
  <c r="C38" i="1"/>
  <c r="H41" i="1"/>
  <c r="H46" i="1" l="1"/>
  <c r="G46" i="1"/>
  <c r="E46" i="1"/>
  <c r="D46" i="1"/>
  <c r="D47" i="1"/>
  <c r="E47" i="1"/>
  <c r="F47" i="1"/>
  <c r="G47" i="1"/>
  <c r="H47" i="1"/>
  <c r="I47" i="1"/>
  <c r="C47" i="1"/>
  <c r="I41" i="1" l="1"/>
  <c r="G41" i="1"/>
  <c r="F41" i="1"/>
  <c r="E41" i="1"/>
  <c r="D41" i="1"/>
  <c r="G39" i="1" l="1"/>
  <c r="F39" i="1"/>
  <c r="H39" i="1"/>
  <c r="C41" i="1"/>
  <c r="F46" i="1" l="1"/>
  <c r="I46" i="1"/>
  <c r="C46" i="1"/>
  <c r="I39" i="1" l="1"/>
  <c r="E39" i="1"/>
  <c r="D39" i="1"/>
  <c r="C39" i="1"/>
  <c r="I47" i="19"/>
  <c r="H47" i="19"/>
  <c r="G47" i="19"/>
  <c r="F47" i="19"/>
  <c r="E47" i="19"/>
  <c r="D47" i="19"/>
  <c r="C47" i="19"/>
  <c r="I46" i="19"/>
  <c r="H46" i="19"/>
  <c r="G46" i="19"/>
  <c r="F46" i="19"/>
  <c r="E46" i="19"/>
  <c r="D46" i="19"/>
  <c r="C46" i="19"/>
  <c r="I41" i="19"/>
  <c r="H41" i="19"/>
  <c r="G41" i="19"/>
  <c r="F41" i="19"/>
  <c r="E41" i="19"/>
  <c r="D41" i="19"/>
  <c r="C41" i="19"/>
  <c r="H40" i="19"/>
  <c r="H39" i="19" s="1"/>
  <c r="G40" i="19"/>
  <c r="G39" i="19" s="1"/>
  <c r="F40" i="19"/>
  <c r="E40" i="19"/>
  <c r="E39" i="19" s="1"/>
  <c r="D40" i="19"/>
  <c r="D39" i="19" s="1"/>
  <c r="C40" i="19"/>
  <c r="F39" i="19"/>
  <c r="C39" i="19"/>
  <c r="K38" i="19"/>
  <c r="J38" i="19"/>
  <c r="I40" i="19" s="1"/>
  <c r="H38" i="19"/>
  <c r="G38" i="19"/>
  <c r="F38" i="19"/>
  <c r="E38" i="19"/>
  <c r="D38" i="19"/>
  <c r="C38" i="19"/>
  <c r="I47" i="18"/>
  <c r="H47" i="18"/>
  <c r="G47" i="18"/>
  <c r="F47" i="18"/>
  <c r="E47" i="18"/>
  <c r="D47" i="18"/>
  <c r="C47" i="18"/>
  <c r="I46" i="18"/>
  <c r="H46" i="18"/>
  <c r="G46" i="18"/>
  <c r="F46" i="18"/>
  <c r="E46" i="18"/>
  <c r="D46" i="18"/>
  <c r="C46" i="18"/>
  <c r="I41" i="18"/>
  <c r="H41" i="18"/>
  <c r="G41" i="18"/>
  <c r="F41" i="18"/>
  <c r="E41" i="18"/>
  <c r="D41" i="18"/>
  <c r="C41" i="18"/>
  <c r="I40" i="18"/>
  <c r="I39" i="18" s="1"/>
  <c r="H40" i="18"/>
  <c r="H39" i="18" s="1"/>
  <c r="G40" i="18"/>
  <c r="F40" i="18"/>
  <c r="C40" i="18"/>
  <c r="C39" i="18" s="1"/>
  <c r="G39" i="18"/>
  <c r="F39" i="18"/>
  <c r="K38" i="18"/>
  <c r="J38" i="18"/>
  <c r="E40" i="18" s="1"/>
  <c r="I38" i="18"/>
  <c r="H38" i="18"/>
  <c r="G38" i="18"/>
  <c r="F38" i="18"/>
  <c r="C38" i="18"/>
  <c r="I47" i="17"/>
  <c r="H47" i="17"/>
  <c r="G47" i="17"/>
  <c r="F47" i="17"/>
  <c r="E47" i="17"/>
  <c r="D47" i="17"/>
  <c r="C47" i="17"/>
  <c r="I46" i="17"/>
  <c r="H46" i="17"/>
  <c r="G46" i="17"/>
  <c r="F46" i="17"/>
  <c r="E46" i="17"/>
  <c r="D46" i="17"/>
  <c r="C46" i="17"/>
  <c r="I41" i="17"/>
  <c r="H41" i="17"/>
  <c r="G41" i="17"/>
  <c r="F41" i="17"/>
  <c r="E41" i="17"/>
  <c r="D41" i="17"/>
  <c r="C41" i="17"/>
  <c r="H40" i="17"/>
  <c r="H39" i="17" s="1"/>
  <c r="G40" i="17"/>
  <c r="G39" i="17" s="1"/>
  <c r="F40" i="17"/>
  <c r="E40" i="17"/>
  <c r="E39" i="17" s="1"/>
  <c r="D40" i="17"/>
  <c r="D39" i="17" s="1"/>
  <c r="C40" i="17"/>
  <c r="F39" i="17"/>
  <c r="C39" i="17"/>
  <c r="K38" i="17"/>
  <c r="J38" i="17"/>
  <c r="I40" i="17" s="1"/>
  <c r="H38" i="17"/>
  <c r="G38" i="17"/>
  <c r="F38" i="17"/>
  <c r="E38" i="17"/>
  <c r="D38" i="17"/>
  <c r="C38" i="17"/>
  <c r="I47" i="16"/>
  <c r="H47" i="16"/>
  <c r="G47" i="16"/>
  <c r="F47" i="16"/>
  <c r="E47" i="16"/>
  <c r="D47" i="16"/>
  <c r="C47" i="16"/>
  <c r="I46" i="16"/>
  <c r="H46" i="16"/>
  <c r="G46" i="16"/>
  <c r="F46" i="16"/>
  <c r="E46" i="16"/>
  <c r="D46" i="16"/>
  <c r="C46" i="16"/>
  <c r="I41" i="16"/>
  <c r="H41" i="16"/>
  <c r="G41" i="16"/>
  <c r="F41" i="16"/>
  <c r="E41" i="16"/>
  <c r="D41" i="16"/>
  <c r="C41" i="16"/>
  <c r="I40" i="16"/>
  <c r="I39" i="16" s="1"/>
  <c r="H40" i="16"/>
  <c r="H39" i="16" s="1"/>
  <c r="G40" i="16"/>
  <c r="F40" i="16"/>
  <c r="C40" i="16"/>
  <c r="C39" i="16" s="1"/>
  <c r="F39" i="16"/>
  <c r="K38" i="16"/>
  <c r="J38" i="16"/>
  <c r="E40" i="16" s="1"/>
  <c r="I38" i="16"/>
  <c r="H38" i="16"/>
  <c r="G38" i="16"/>
  <c r="G39" i="16" s="1"/>
  <c r="F38" i="16"/>
  <c r="C38" i="16"/>
  <c r="I47" i="15"/>
  <c r="H47" i="15"/>
  <c r="G47" i="15"/>
  <c r="F47" i="15"/>
  <c r="E47" i="15"/>
  <c r="D47" i="15"/>
  <c r="C47" i="15"/>
  <c r="I46" i="15"/>
  <c r="H46" i="15"/>
  <c r="G46" i="15"/>
  <c r="F46" i="15"/>
  <c r="E46" i="15"/>
  <c r="D46" i="15"/>
  <c r="C46" i="15"/>
  <c r="I41" i="15"/>
  <c r="H41" i="15"/>
  <c r="G41" i="15"/>
  <c r="F41" i="15"/>
  <c r="E41" i="15"/>
  <c r="D41" i="15"/>
  <c r="C41" i="15"/>
  <c r="H40" i="15"/>
  <c r="H39" i="15" s="1"/>
  <c r="G40" i="15"/>
  <c r="G39" i="15" s="1"/>
  <c r="F40" i="15"/>
  <c r="E40" i="15"/>
  <c r="E39" i="15" s="1"/>
  <c r="D40" i="15"/>
  <c r="D39" i="15" s="1"/>
  <c r="C40" i="15"/>
  <c r="C39" i="15" s="1"/>
  <c r="F39" i="15"/>
  <c r="K38" i="15"/>
  <c r="J38" i="15"/>
  <c r="I40" i="15" s="1"/>
  <c r="H38" i="15"/>
  <c r="G38" i="15"/>
  <c r="F38" i="15"/>
  <c r="E38" i="15"/>
  <c r="D38" i="15"/>
  <c r="C38" i="15"/>
  <c r="I47" i="14"/>
  <c r="H47" i="14"/>
  <c r="G47" i="14"/>
  <c r="F47" i="14"/>
  <c r="E47" i="14"/>
  <c r="D47" i="14"/>
  <c r="C47" i="14"/>
  <c r="I46" i="14"/>
  <c r="H46" i="14"/>
  <c r="G46" i="14"/>
  <c r="F46" i="14"/>
  <c r="E46" i="14"/>
  <c r="D46" i="14"/>
  <c r="C46" i="14"/>
  <c r="I41" i="14"/>
  <c r="H41" i="14"/>
  <c r="G41" i="14"/>
  <c r="F41" i="14"/>
  <c r="E41" i="14"/>
  <c r="D41" i="14"/>
  <c r="C41" i="14"/>
  <c r="I40" i="14"/>
  <c r="I39" i="14" s="1"/>
  <c r="H40" i="14"/>
  <c r="H39" i="14" s="1"/>
  <c r="G40" i="14"/>
  <c r="G39" i="14" s="1"/>
  <c r="F40" i="14"/>
  <c r="C40" i="14"/>
  <c r="C39" i="14" s="1"/>
  <c r="F39" i="14"/>
  <c r="K38" i="14"/>
  <c r="J38" i="14"/>
  <c r="E40" i="14" s="1"/>
  <c r="I38" i="14"/>
  <c r="H38" i="14"/>
  <c r="G38" i="14"/>
  <c r="F38" i="14"/>
  <c r="C38" i="14"/>
  <c r="I47" i="13"/>
  <c r="H47" i="13"/>
  <c r="G47" i="13"/>
  <c r="F47" i="13"/>
  <c r="E47" i="13"/>
  <c r="D47" i="13"/>
  <c r="C47" i="13"/>
  <c r="I46" i="13"/>
  <c r="H46" i="13"/>
  <c r="G46" i="13"/>
  <c r="F46" i="13"/>
  <c r="E46" i="13"/>
  <c r="D46" i="13"/>
  <c r="C46" i="13"/>
  <c r="I41" i="13"/>
  <c r="H41" i="13"/>
  <c r="G41" i="13"/>
  <c r="F41" i="13"/>
  <c r="E41" i="13"/>
  <c r="D41" i="13"/>
  <c r="C41" i="13"/>
  <c r="H40" i="13"/>
  <c r="H39" i="13" s="1"/>
  <c r="G40" i="13"/>
  <c r="G39" i="13" s="1"/>
  <c r="F40" i="13"/>
  <c r="E40" i="13"/>
  <c r="E39" i="13" s="1"/>
  <c r="D40" i="13"/>
  <c r="D39" i="13" s="1"/>
  <c r="C40" i="13"/>
  <c r="C39" i="13" s="1"/>
  <c r="F39" i="13"/>
  <c r="K38" i="13"/>
  <c r="J38" i="13"/>
  <c r="I40" i="13" s="1"/>
  <c r="H38" i="13"/>
  <c r="G38" i="13"/>
  <c r="F38" i="13"/>
  <c r="E38" i="13"/>
  <c r="D38" i="13"/>
  <c r="C38" i="13"/>
  <c r="I47" i="12"/>
  <c r="H47" i="12"/>
  <c r="G47" i="12"/>
  <c r="F47" i="12"/>
  <c r="E47" i="12"/>
  <c r="D47" i="12"/>
  <c r="C47" i="12"/>
  <c r="I46" i="12"/>
  <c r="H46" i="12"/>
  <c r="G46" i="12"/>
  <c r="F46" i="12"/>
  <c r="E46" i="12"/>
  <c r="D46" i="12"/>
  <c r="C46" i="12"/>
  <c r="I41" i="12"/>
  <c r="H41" i="12"/>
  <c r="G41" i="12"/>
  <c r="F41" i="12"/>
  <c r="E41" i="12"/>
  <c r="D41" i="12"/>
  <c r="C41" i="12"/>
  <c r="I40" i="12"/>
  <c r="I39" i="12" s="1"/>
  <c r="H40" i="12"/>
  <c r="H39" i="12" s="1"/>
  <c r="G40" i="12"/>
  <c r="G39" i="12" s="1"/>
  <c r="F40" i="12"/>
  <c r="C40" i="12"/>
  <c r="C39" i="12" s="1"/>
  <c r="F39" i="12"/>
  <c r="K38" i="12"/>
  <c r="J38" i="12"/>
  <c r="E40" i="12" s="1"/>
  <c r="I38" i="12"/>
  <c r="H38" i="12"/>
  <c r="G38" i="12"/>
  <c r="F38" i="12"/>
  <c r="C38" i="12"/>
  <c r="I47" i="11"/>
  <c r="H47" i="11"/>
  <c r="G47" i="11"/>
  <c r="F47" i="11"/>
  <c r="E47" i="11"/>
  <c r="D47" i="11"/>
  <c r="C47" i="11"/>
  <c r="I46" i="11"/>
  <c r="H46" i="11"/>
  <c r="G46" i="11"/>
  <c r="F46" i="11"/>
  <c r="E46" i="11"/>
  <c r="D46" i="11"/>
  <c r="C46" i="11"/>
  <c r="I41" i="11"/>
  <c r="H41" i="11"/>
  <c r="G41" i="11"/>
  <c r="F41" i="11"/>
  <c r="E41" i="11"/>
  <c r="D41" i="11"/>
  <c r="C41" i="11"/>
  <c r="H40" i="11"/>
  <c r="H39" i="11" s="1"/>
  <c r="G40" i="11"/>
  <c r="G39" i="11" s="1"/>
  <c r="F40" i="11"/>
  <c r="E40" i="11"/>
  <c r="E39" i="11" s="1"/>
  <c r="D40" i="11"/>
  <c r="D39" i="11" s="1"/>
  <c r="C40" i="11"/>
  <c r="C39" i="11" s="1"/>
  <c r="F39" i="11"/>
  <c r="K38" i="11"/>
  <c r="J38" i="11"/>
  <c r="I40" i="11" s="1"/>
  <c r="H38" i="11"/>
  <c r="G38" i="11"/>
  <c r="F38" i="11"/>
  <c r="E38" i="11"/>
  <c r="D38" i="11"/>
  <c r="C38" i="11"/>
  <c r="I47" i="10"/>
  <c r="H47" i="10"/>
  <c r="G47" i="10"/>
  <c r="F47" i="10"/>
  <c r="E47" i="10"/>
  <c r="D47" i="10"/>
  <c r="C47" i="10"/>
  <c r="I46" i="10"/>
  <c r="H46" i="10"/>
  <c r="G46" i="10"/>
  <c r="F46" i="10"/>
  <c r="E46" i="10"/>
  <c r="D46" i="10"/>
  <c r="C46" i="10"/>
  <c r="I41" i="10"/>
  <c r="H41" i="10"/>
  <c r="G41" i="10"/>
  <c r="F41" i="10"/>
  <c r="E41" i="10"/>
  <c r="D41" i="10"/>
  <c r="C41" i="10"/>
  <c r="I40" i="10"/>
  <c r="I39" i="10" s="1"/>
  <c r="H40" i="10"/>
  <c r="H39" i="10" s="1"/>
  <c r="G40" i="10"/>
  <c r="G39" i="10" s="1"/>
  <c r="F40" i="10"/>
  <c r="C40" i="10"/>
  <c r="C39" i="10" s="1"/>
  <c r="F39" i="10"/>
  <c r="K38" i="10"/>
  <c r="J38" i="10"/>
  <c r="E40" i="10" s="1"/>
  <c r="I38" i="10"/>
  <c r="H38" i="10"/>
  <c r="G38" i="10"/>
  <c r="F38" i="10"/>
  <c r="C38" i="10"/>
  <c r="I47" i="9"/>
  <c r="H47" i="9"/>
  <c r="G47" i="9"/>
  <c r="F47" i="9"/>
  <c r="E47" i="9"/>
  <c r="D47" i="9"/>
  <c r="C47" i="9"/>
  <c r="I46" i="9"/>
  <c r="H46" i="9"/>
  <c r="G46" i="9"/>
  <c r="F46" i="9"/>
  <c r="E46" i="9"/>
  <c r="D46" i="9"/>
  <c r="C46" i="9"/>
  <c r="I41" i="9"/>
  <c r="H41" i="9"/>
  <c r="G41" i="9"/>
  <c r="F41" i="9"/>
  <c r="E41" i="9"/>
  <c r="D41" i="9"/>
  <c r="C41" i="9"/>
  <c r="H40" i="9"/>
  <c r="H39" i="9" s="1"/>
  <c r="G40" i="9"/>
  <c r="G39" i="9" s="1"/>
  <c r="F40" i="9"/>
  <c r="E40" i="9"/>
  <c r="E39" i="9" s="1"/>
  <c r="D40" i="9"/>
  <c r="D39" i="9" s="1"/>
  <c r="C40" i="9"/>
  <c r="C39" i="9" s="1"/>
  <c r="F39" i="9"/>
  <c r="K38" i="9"/>
  <c r="J38" i="9"/>
  <c r="I40" i="9" s="1"/>
  <c r="H38" i="9"/>
  <c r="G38" i="9"/>
  <c r="F38" i="9"/>
  <c r="E38" i="9"/>
  <c r="D38" i="9"/>
  <c r="C38" i="9"/>
  <c r="I47" i="8"/>
  <c r="H47" i="8"/>
  <c r="G47" i="8"/>
  <c r="F47" i="8"/>
  <c r="E47" i="8"/>
  <c r="D47" i="8"/>
  <c r="C47" i="8"/>
  <c r="I46" i="8"/>
  <c r="H46" i="8"/>
  <c r="G46" i="8"/>
  <c r="F46" i="8"/>
  <c r="E46" i="8"/>
  <c r="D46" i="8"/>
  <c r="C46" i="8"/>
  <c r="I41" i="8"/>
  <c r="H41" i="8"/>
  <c r="G41" i="8"/>
  <c r="F41" i="8"/>
  <c r="E41" i="8"/>
  <c r="D41" i="8"/>
  <c r="C41" i="8"/>
  <c r="I40" i="8"/>
  <c r="I39" i="8" s="1"/>
  <c r="H40" i="8"/>
  <c r="H39" i="8" s="1"/>
  <c r="G40" i="8"/>
  <c r="G39" i="8" s="1"/>
  <c r="F40" i="8"/>
  <c r="C40" i="8"/>
  <c r="C39" i="8" s="1"/>
  <c r="F39" i="8"/>
  <c r="K38" i="8"/>
  <c r="J38" i="8"/>
  <c r="E40" i="8" s="1"/>
  <c r="I38" i="8"/>
  <c r="H38" i="8"/>
  <c r="G38" i="8"/>
  <c r="F38" i="8"/>
  <c r="C38" i="8"/>
  <c r="I47" i="7"/>
  <c r="H47" i="7"/>
  <c r="G47" i="7"/>
  <c r="F47" i="7"/>
  <c r="E47" i="7"/>
  <c r="D47" i="7"/>
  <c r="C47" i="7"/>
  <c r="I46" i="7"/>
  <c r="H46" i="7"/>
  <c r="G46" i="7"/>
  <c r="F46" i="7"/>
  <c r="E46" i="7"/>
  <c r="D46" i="7"/>
  <c r="C46" i="7"/>
  <c r="I41" i="7"/>
  <c r="H41" i="7"/>
  <c r="G41" i="7"/>
  <c r="F41" i="7"/>
  <c r="E41" i="7"/>
  <c r="D41" i="7"/>
  <c r="C41" i="7"/>
  <c r="H40" i="7"/>
  <c r="H39" i="7" s="1"/>
  <c r="G40" i="7"/>
  <c r="G39" i="7" s="1"/>
  <c r="F40" i="7"/>
  <c r="E40" i="7"/>
  <c r="E39" i="7" s="1"/>
  <c r="D40" i="7"/>
  <c r="D39" i="7" s="1"/>
  <c r="C40" i="7"/>
  <c r="C39" i="7" s="1"/>
  <c r="F39" i="7"/>
  <c r="K38" i="7"/>
  <c r="J38" i="7"/>
  <c r="I40" i="7" s="1"/>
  <c r="H38" i="7"/>
  <c r="G38" i="7"/>
  <c r="F38" i="7"/>
  <c r="E38" i="7"/>
  <c r="D38" i="7"/>
  <c r="C38" i="7"/>
  <c r="I47" i="6"/>
  <c r="H47" i="6"/>
  <c r="G47" i="6"/>
  <c r="F47" i="6"/>
  <c r="E47" i="6"/>
  <c r="D47" i="6"/>
  <c r="C47" i="6"/>
  <c r="I46" i="6"/>
  <c r="H46" i="6"/>
  <c r="G46" i="6"/>
  <c r="F46" i="6"/>
  <c r="E46" i="6"/>
  <c r="D46" i="6"/>
  <c r="C46" i="6"/>
  <c r="I41" i="6"/>
  <c r="H41" i="6"/>
  <c r="G41" i="6"/>
  <c r="F41" i="6"/>
  <c r="E41" i="6"/>
  <c r="D41" i="6"/>
  <c r="C41" i="6"/>
  <c r="I40" i="6"/>
  <c r="I39" i="6" s="1"/>
  <c r="H40" i="6"/>
  <c r="H39" i="6" s="1"/>
  <c r="G40" i="6"/>
  <c r="G39" i="6" s="1"/>
  <c r="F40" i="6"/>
  <c r="C40" i="6"/>
  <c r="C39" i="6" s="1"/>
  <c r="F39" i="6"/>
  <c r="K38" i="6"/>
  <c r="J38" i="6"/>
  <c r="E40" i="6" s="1"/>
  <c r="I38" i="6"/>
  <c r="H38" i="6"/>
  <c r="G38" i="6"/>
  <c r="F38" i="6"/>
  <c r="C38" i="6"/>
  <c r="I47" i="5"/>
  <c r="H47" i="5"/>
  <c r="G47" i="5"/>
  <c r="F47" i="5"/>
  <c r="E47" i="5"/>
  <c r="D47" i="5"/>
  <c r="C47" i="5"/>
  <c r="I46" i="5"/>
  <c r="H46" i="5"/>
  <c r="G46" i="5"/>
  <c r="F46" i="5"/>
  <c r="E46" i="5"/>
  <c r="D46" i="5"/>
  <c r="C46" i="5"/>
  <c r="I41" i="5"/>
  <c r="H41" i="5"/>
  <c r="G41" i="5"/>
  <c r="F41" i="5"/>
  <c r="E41" i="5"/>
  <c r="D41" i="5"/>
  <c r="C41" i="5"/>
  <c r="H40" i="5"/>
  <c r="H39" i="5" s="1"/>
  <c r="G40" i="5"/>
  <c r="G39" i="5" s="1"/>
  <c r="F40" i="5"/>
  <c r="E40" i="5"/>
  <c r="E39" i="5" s="1"/>
  <c r="D40" i="5"/>
  <c r="D39" i="5" s="1"/>
  <c r="C40" i="5"/>
  <c r="C39" i="5" s="1"/>
  <c r="F39" i="5"/>
  <c r="K38" i="5"/>
  <c r="J38" i="5"/>
  <c r="I40" i="5" s="1"/>
  <c r="H38" i="5"/>
  <c r="G38" i="5"/>
  <c r="F38" i="5"/>
  <c r="E38" i="5"/>
  <c r="D38" i="5"/>
  <c r="C38" i="5"/>
  <c r="I47" i="4"/>
  <c r="H47" i="4"/>
  <c r="G47" i="4"/>
  <c r="F47" i="4"/>
  <c r="E47" i="4"/>
  <c r="D47" i="4"/>
  <c r="C47" i="4"/>
  <c r="I46" i="4"/>
  <c r="H46" i="4"/>
  <c r="G46" i="4"/>
  <c r="F46" i="4"/>
  <c r="E46" i="4"/>
  <c r="D46" i="4"/>
  <c r="C46" i="4"/>
  <c r="I41" i="4"/>
  <c r="H41" i="4"/>
  <c r="G41" i="4"/>
  <c r="F41" i="4"/>
  <c r="E41" i="4"/>
  <c r="D41" i="4"/>
  <c r="C41" i="4"/>
  <c r="I40" i="4"/>
  <c r="I39" i="4" s="1"/>
  <c r="H40" i="4"/>
  <c r="H39" i="4" s="1"/>
  <c r="G40" i="4"/>
  <c r="G39" i="4" s="1"/>
  <c r="F40" i="4"/>
  <c r="C40" i="4"/>
  <c r="C39" i="4" s="1"/>
  <c r="F39" i="4"/>
  <c r="K38" i="4"/>
  <c r="J38" i="4"/>
  <c r="E40" i="4" s="1"/>
  <c r="I38" i="4"/>
  <c r="H38" i="4"/>
  <c r="G38" i="4"/>
  <c r="F38" i="4"/>
  <c r="C38" i="4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1" i="3"/>
  <c r="H41" i="3"/>
  <c r="G41" i="3"/>
  <c r="F41" i="3"/>
  <c r="E41" i="3"/>
  <c r="D41" i="3"/>
  <c r="C41" i="3"/>
  <c r="H40" i="3"/>
  <c r="H39" i="3" s="1"/>
  <c r="G40" i="3"/>
  <c r="G39" i="3" s="1"/>
  <c r="F40" i="3"/>
  <c r="E40" i="3"/>
  <c r="E39" i="3" s="1"/>
  <c r="D40" i="3"/>
  <c r="D39" i="3" s="1"/>
  <c r="C40" i="3"/>
  <c r="C39" i="3" s="1"/>
  <c r="F39" i="3"/>
  <c r="K38" i="3"/>
  <c r="J38" i="3"/>
  <c r="I40" i="3" s="1"/>
  <c r="H38" i="3"/>
  <c r="G38" i="3"/>
  <c r="F38" i="3"/>
  <c r="E38" i="3"/>
  <c r="D38" i="3"/>
  <c r="C38" i="3"/>
  <c r="I47" i="2"/>
  <c r="H47" i="2"/>
  <c r="G47" i="2"/>
  <c r="F47" i="2"/>
  <c r="E47" i="2"/>
  <c r="D47" i="2"/>
  <c r="C47" i="2"/>
  <c r="I46" i="2"/>
  <c r="H46" i="2"/>
  <c r="G46" i="2"/>
  <c r="F46" i="2"/>
  <c r="E46" i="2"/>
  <c r="D46" i="2"/>
  <c r="C46" i="2"/>
  <c r="I41" i="2"/>
  <c r="H41" i="2"/>
  <c r="G41" i="2"/>
  <c r="F41" i="2"/>
  <c r="E41" i="2"/>
  <c r="D41" i="2"/>
  <c r="C41" i="2"/>
  <c r="I40" i="2"/>
  <c r="I39" i="2" s="1"/>
  <c r="H40" i="2"/>
  <c r="H39" i="2" s="1"/>
  <c r="G40" i="2"/>
  <c r="F40" i="2"/>
  <c r="C40" i="2"/>
  <c r="C39" i="2" s="1"/>
  <c r="F39" i="2"/>
  <c r="K38" i="2"/>
  <c r="J38" i="2"/>
  <c r="E40" i="2" s="1"/>
  <c r="I38" i="2"/>
  <c r="H38" i="2"/>
  <c r="G38" i="2"/>
  <c r="F38" i="2"/>
  <c r="C38" i="2"/>
  <c r="G39" i="2" l="1"/>
  <c r="E39" i="14"/>
  <c r="I39" i="9"/>
  <c r="I39" i="17"/>
  <c r="E39" i="2"/>
  <c r="I39" i="3"/>
  <c r="I39" i="11"/>
  <c r="D38" i="4"/>
  <c r="D40" i="4"/>
  <c r="D39" i="4" s="1"/>
  <c r="D38" i="6"/>
  <c r="D40" i="6"/>
  <c r="D39" i="6" s="1"/>
  <c r="D38" i="8"/>
  <c r="D40" i="8"/>
  <c r="D39" i="8" s="1"/>
  <c r="D38" i="10"/>
  <c r="D40" i="10"/>
  <c r="D39" i="10" s="1"/>
  <c r="D38" i="12"/>
  <c r="D40" i="12"/>
  <c r="D39" i="12" s="1"/>
  <c r="D38" i="14"/>
  <c r="D40" i="14"/>
  <c r="D39" i="14" s="1"/>
  <c r="D38" i="16"/>
  <c r="D40" i="16"/>
  <c r="D39" i="16" s="1"/>
  <c r="D38" i="18"/>
  <c r="D40" i="18"/>
  <c r="D39" i="18" s="1"/>
  <c r="D38" i="2"/>
  <c r="D40" i="2"/>
  <c r="D39" i="2" s="1"/>
  <c r="E38" i="2"/>
  <c r="I38" i="3"/>
  <c r="E38" i="4"/>
  <c r="E39" i="4" s="1"/>
  <c r="I38" i="5"/>
  <c r="I39" i="5" s="1"/>
  <c r="E38" i="6"/>
  <c r="E39" i="6" s="1"/>
  <c r="I38" i="7"/>
  <c r="I39" i="7" s="1"/>
  <c r="E38" i="8"/>
  <c r="E39" i="8" s="1"/>
  <c r="I38" i="9"/>
  <c r="E38" i="10"/>
  <c r="E39" i="10" s="1"/>
  <c r="I38" i="11"/>
  <c r="E38" i="12"/>
  <c r="E39" i="12" s="1"/>
  <c r="I38" i="13"/>
  <c r="I39" i="13" s="1"/>
  <c r="E38" i="14"/>
  <c r="I38" i="15"/>
  <c r="I39" i="15" s="1"/>
  <c r="E38" i="16"/>
  <c r="E39" i="16" s="1"/>
  <c r="I38" i="17"/>
  <c r="E38" i="18"/>
  <c r="E39" i="18" s="1"/>
  <c r="I38" i="19"/>
  <c r="I39" i="19" s="1"/>
</calcChain>
</file>

<file path=xl/sharedStrings.xml><?xml version="1.0" encoding="utf-8"?>
<sst xmlns="http://schemas.openxmlformats.org/spreadsheetml/2006/main" count="951" uniqueCount="51">
  <si>
    <t>Serialization</t>
  </si>
  <si>
    <t>Both</t>
  </si>
  <si>
    <t>Newtonsoft.Json</t>
  </si>
  <si>
    <t>Deserialization</t>
  </si>
  <si>
    <t>Serialization data:</t>
  </si>
  <si>
    <t>Average</t>
  </si>
  <si>
    <t>Deviation</t>
  </si>
  <si>
    <t>Serialization and deserialization data:</t>
  </si>
  <si>
    <t>Size</t>
  </si>
  <si>
    <t>Newtonsoft (duration)</t>
  </si>
  <si>
    <t>Newtonsoft (size)</t>
  </si>
  <si>
    <t>Protobuf.NET</t>
  </si>
  <si>
    <t>Jackson</t>
  </si>
  <si>
    <t>Jackson (duration)</t>
  </si>
  <si>
    <t>Jackson (size)</t>
  </si>
  <si>
    <t>Protobuf.NET (size)</t>
  </si>
  <si>
    <t>Protobuf.NET (duration)</t>
  </si>
  <si>
    <t>.NET (instance only)</t>
  </si>
  <si>
    <t>JVM (instance only)</t>
  </si>
  <si>
    <t>Revenj.Net full</t>
  </si>
  <si>
    <t>Revenj.Net minimal</t>
  </si>
  <si>
    <t>DSL client Java full</t>
  </si>
  <si>
    <t>DSL client Java minimal</t>
  </si>
  <si>
    <t>Revenj.NET full (duration)</t>
  </si>
  <si>
    <t>Revenj.NET full (size)</t>
  </si>
  <si>
    <t>Revenj.NET minimal (duration)</t>
  </si>
  <si>
    <t>Revenj.NET minimal (size)</t>
  </si>
  <si>
    <t>DSL client Java full (duration)</t>
  </si>
  <si>
    <t>DSL client Java full (size)</t>
  </si>
  <si>
    <t>DSL client Java minimal (duration)</t>
  </si>
  <si>
    <t>DSL client Java minimal (size)</t>
  </si>
  <si>
    <t>Startup times: SmallObject.Message</t>
  </si>
  <si>
    <t>Startup times: LargeObjects.Book</t>
  </si>
  <si>
    <t>100.000 SmallObjects.Message</t>
  </si>
  <si>
    <t>1.000.000 SmallObjects.Message</t>
  </si>
  <si>
    <t>10.000.000 SmallObjects.Message</t>
  </si>
  <si>
    <t>100.000 SmallObjects.Complex</t>
  </si>
  <si>
    <t>1.000.000 SmallObjects.Complex</t>
  </si>
  <si>
    <t>10.000.000 SmallObjects.Complex</t>
  </si>
  <si>
    <t>100.000 SmallObjects.Post</t>
  </si>
  <si>
    <t>1.000.000 SmallObjects.Post</t>
  </si>
  <si>
    <t>10.000.000 SmallObjects.Post</t>
  </si>
  <si>
    <t>10.000 StandardObjects.DeletePost</t>
  </si>
  <si>
    <t>100.000 StandardObjects.DeletePost</t>
  </si>
  <si>
    <t>1.000.000 StandardObjects.DeletePost</t>
  </si>
  <si>
    <t>10.000 StandardObjects.Post</t>
  </si>
  <si>
    <t>100.000 StandardObjects.Post</t>
  </si>
  <si>
    <t>1.000.000 StandardObjects.Post</t>
  </si>
  <si>
    <t>100 LargeObjects.Book</t>
  </si>
  <si>
    <t>1.000 LargeObjects.Book</t>
  </si>
  <si>
    <r>
      <rPr>
        <b/>
        <sz val="11"/>
        <rFont val="Calibri"/>
      </rPr>
      <t>Unlicensed version. Please register @ templater.info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</si>
</sst>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04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Sheet1!$C$38:$K$38</c:f>
              <c:numCache>
                <c:formatCode>#,##0.0</c:formatCode>
                <c:ptCount val="9"/>
                <c:pt idx="0">
                  <c:v>81.666666666666671</c:v>
                </c:pt>
                <c:pt idx="1">
                  <c:v>3</c:v>
                </c:pt>
                <c:pt idx="2">
                  <c:v>3</c:v>
                </c:pt>
                <c:pt idx="3">
                  <c:v>46.666666666666664</c:v>
                </c:pt>
                <c:pt idx="4">
                  <c:v>5.333333333333333</c:v>
                </c:pt>
                <c:pt idx="5">
                  <c:v>0</c:v>
                </c:pt>
                <c:pt idx="6">
                  <c:v>39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Sheet1!$C$39:$K$39</c:f>
              <c:numCache>
                <c:formatCode>#,##0.0</c:formatCode>
                <c:ptCount val="9"/>
                <c:pt idx="0">
                  <c:v>32</c:v>
                </c:pt>
                <c:pt idx="1">
                  <c:v>10.666666666666666</c:v>
                </c:pt>
                <c:pt idx="2">
                  <c:v>10.333333333333334</c:v>
                </c:pt>
                <c:pt idx="3">
                  <c:v>21.000000000000007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68192"/>
        <c:axId val="145369728"/>
      </c:barChart>
      <c:catAx>
        <c:axId val="145368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369728"/>
        <c:crosses val="autoZero"/>
        <c:auto val="1"/>
        <c:lblAlgn val="ctr"/>
        <c:lblOffset val="100"/>
        <c:noMultiLvlLbl val="0"/>
      </c:catAx>
      <c:valAx>
        <c:axId val="145369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4536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Sheet5!$B$41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Sheet5!$C$37:$I$37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Sheet5!$C$41:$I$41</c:f>
              <c:numCache>
                <c:formatCode>#,##0</c:formatCode>
                <c:ptCount val="7"/>
                <c:pt idx="0">
                  <c:v>517777768</c:v>
                </c:pt>
                <c:pt idx="1">
                  <c:v>517777780</c:v>
                </c:pt>
                <c:pt idx="2">
                  <c:v>517777768</c:v>
                </c:pt>
                <c:pt idx="3">
                  <c:v>517777780</c:v>
                </c:pt>
                <c:pt idx="4">
                  <c:v>517777780</c:v>
                </c:pt>
                <c:pt idx="5">
                  <c:v>517777768</c:v>
                </c:pt>
                <c:pt idx="6">
                  <c:v>266775224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24160"/>
        <c:axId val="152925696"/>
      </c:barChart>
      <c:catAx>
        <c:axId val="152924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2925696"/>
        <c:crosses val="autoZero"/>
        <c:auto val="1"/>
        <c:lblAlgn val="ctr"/>
        <c:lblOffset val="100"/>
        <c:noMultiLvlLbl val="0"/>
      </c:catAx>
      <c:valAx>
        <c:axId val="152925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292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Sheet6!$C$37:$K$37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Sheet6!$C$38:$K$38</c:f>
              <c:numCache>
                <c:formatCode>#,##0.0</c:formatCode>
                <c:ptCount val="9"/>
                <c:pt idx="0">
                  <c:v>150.33333333333334</c:v>
                </c:pt>
                <c:pt idx="1">
                  <c:v>61</c:v>
                </c:pt>
                <c:pt idx="2">
                  <c:v>66.333333333333329</c:v>
                </c:pt>
                <c:pt idx="3">
                  <c:v>239</c:v>
                </c:pt>
                <c:pt idx="4">
                  <c:v>161.33333333333334</c:v>
                </c:pt>
                <c:pt idx="5">
                  <c:v>161</c:v>
                </c:pt>
                <c:pt idx="6">
                  <c:v>44.666666666666664</c:v>
                </c:pt>
                <c:pt idx="7">
                  <c:v>11</c:v>
                </c:pt>
                <c:pt idx="8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Sheet6!$B$39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Sheet6!$C$37:$K$37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Sheet6!$C$39:$K$39</c:f>
              <c:numCache>
                <c:formatCode>#,##0.0</c:formatCode>
                <c:ptCount val="9"/>
                <c:pt idx="0">
                  <c:v>548.33333333333326</c:v>
                </c:pt>
                <c:pt idx="1">
                  <c:v>132.33333333333334</c:v>
                </c:pt>
                <c:pt idx="2">
                  <c:v>116.66666666666667</c:v>
                </c:pt>
                <c:pt idx="3">
                  <c:v>140.66666666666669</c:v>
                </c:pt>
                <c:pt idx="4">
                  <c:v>83</c:v>
                </c:pt>
                <c:pt idx="5">
                  <c:v>78</c:v>
                </c:pt>
                <c:pt idx="6">
                  <c:v>60.000000000000007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28256"/>
        <c:axId val="153391488"/>
      </c:barChart>
      <c:catAx>
        <c:axId val="153328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391488"/>
        <c:crosses val="autoZero"/>
        <c:auto val="1"/>
        <c:lblAlgn val="ctr"/>
        <c:lblOffset val="100"/>
        <c:noMultiLvlLbl val="0"/>
      </c:catAx>
      <c:valAx>
        <c:axId val="153391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332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Sheet6!$B$41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Sheet6!$C$37:$I$37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Sheet6!$C$41:$I$41</c:f>
              <c:numCache>
                <c:formatCode>#,##0</c:formatCode>
                <c:ptCount val="7"/>
                <c:pt idx="0">
                  <c:v>3346868</c:v>
                </c:pt>
                <c:pt idx="1">
                  <c:v>3346489</c:v>
                </c:pt>
                <c:pt idx="2">
                  <c:v>3346472</c:v>
                </c:pt>
                <c:pt idx="3">
                  <c:v>4477194</c:v>
                </c:pt>
                <c:pt idx="4">
                  <c:v>4477190</c:v>
                </c:pt>
                <c:pt idx="5">
                  <c:v>4477173</c:v>
                </c:pt>
                <c:pt idx="6">
                  <c:v>1658087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96960"/>
        <c:axId val="153098496"/>
      </c:barChart>
      <c:catAx>
        <c:axId val="153096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098496"/>
        <c:crosses val="autoZero"/>
        <c:auto val="1"/>
        <c:lblAlgn val="ctr"/>
        <c:lblOffset val="100"/>
        <c:noMultiLvlLbl val="0"/>
      </c:catAx>
      <c:valAx>
        <c:axId val="153098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309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Sheet7!$C$37:$K$37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Sheet7!$C$38:$K$38</c:f>
              <c:numCache>
                <c:formatCode>#,##0.0</c:formatCode>
                <c:ptCount val="9"/>
                <c:pt idx="0">
                  <c:v>1575.3333333333335</c:v>
                </c:pt>
                <c:pt idx="1">
                  <c:v>621.66666666666663</c:v>
                </c:pt>
                <c:pt idx="2">
                  <c:v>625</c:v>
                </c:pt>
                <c:pt idx="3">
                  <c:v>1076.3333333333333</c:v>
                </c:pt>
                <c:pt idx="4">
                  <c:v>686.33333333333337</c:v>
                </c:pt>
                <c:pt idx="5">
                  <c:v>691.66666666666663</c:v>
                </c:pt>
                <c:pt idx="6">
                  <c:v>388.33333333333337</c:v>
                </c:pt>
                <c:pt idx="7">
                  <c:v>113.33333333333333</c:v>
                </c:pt>
                <c:pt idx="8">
                  <c:v>400.66666666666669</c:v>
                </c:pt>
              </c:numCache>
            </c:numRef>
          </c:val>
        </c:ser>
        <c:ser>
          <c:idx val="1"/>
          <c:order val="1"/>
          <c:tx>
            <c:strRef>
              <c:f>Sheet7!$B$39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Sheet7!$C$37:$K$37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Sheet7!$C$39:$K$39</c:f>
              <c:numCache>
                <c:formatCode>#,##0.0</c:formatCode>
                <c:ptCount val="9"/>
                <c:pt idx="0">
                  <c:v>5247.3333333333339</c:v>
                </c:pt>
                <c:pt idx="1">
                  <c:v>1207.3333333333335</c:v>
                </c:pt>
                <c:pt idx="2">
                  <c:v>1169.3333333333335</c:v>
                </c:pt>
                <c:pt idx="3">
                  <c:v>1056.0000000000002</c:v>
                </c:pt>
                <c:pt idx="4">
                  <c:v>358.66666666666663</c:v>
                </c:pt>
                <c:pt idx="5">
                  <c:v>343.00000000000011</c:v>
                </c:pt>
                <c:pt idx="6">
                  <c:v>564.66666666666652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49280"/>
        <c:axId val="153250816"/>
      </c:barChart>
      <c:catAx>
        <c:axId val="153249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250816"/>
        <c:crosses val="autoZero"/>
        <c:auto val="1"/>
        <c:lblAlgn val="ctr"/>
        <c:lblOffset val="100"/>
        <c:noMultiLvlLbl val="0"/>
      </c:catAx>
      <c:valAx>
        <c:axId val="153250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324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Sheet7!$B$41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Sheet7!$C$37:$I$37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Sheet7!$C$41:$I$41</c:f>
              <c:numCache>
                <c:formatCode>#,##0</c:formatCode>
                <c:ptCount val="7"/>
                <c:pt idx="0">
                  <c:v>36448868</c:v>
                </c:pt>
                <c:pt idx="1">
                  <c:v>36444889</c:v>
                </c:pt>
                <c:pt idx="2">
                  <c:v>36444872</c:v>
                </c:pt>
                <c:pt idx="3">
                  <c:v>46514394</c:v>
                </c:pt>
                <c:pt idx="4">
                  <c:v>46514390</c:v>
                </c:pt>
                <c:pt idx="5">
                  <c:v>46514373</c:v>
                </c:pt>
                <c:pt idx="6">
                  <c:v>16941514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67584"/>
        <c:axId val="153818240"/>
      </c:barChart>
      <c:catAx>
        <c:axId val="153267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818240"/>
        <c:crosses val="autoZero"/>
        <c:auto val="1"/>
        <c:lblAlgn val="ctr"/>
        <c:lblOffset val="100"/>
        <c:noMultiLvlLbl val="0"/>
      </c:catAx>
      <c:valAx>
        <c:axId val="15381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326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Sheet8!$C$37:$K$37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Sheet8!$C$38:$K$38</c:f>
              <c:numCache>
                <c:formatCode>#,##0.0</c:formatCode>
                <c:ptCount val="9"/>
                <c:pt idx="0">
                  <c:v>15966.666666666668</c:v>
                </c:pt>
                <c:pt idx="1">
                  <c:v>6337.666666666667</c:v>
                </c:pt>
                <c:pt idx="2">
                  <c:v>6343.333333333333</c:v>
                </c:pt>
                <c:pt idx="3">
                  <c:v>9230.3333333333339</c:v>
                </c:pt>
                <c:pt idx="4">
                  <c:v>5933.333333333333</c:v>
                </c:pt>
                <c:pt idx="5">
                  <c:v>5912.333333333333</c:v>
                </c:pt>
                <c:pt idx="6">
                  <c:v>3870</c:v>
                </c:pt>
                <c:pt idx="7">
                  <c:v>1134</c:v>
                </c:pt>
                <c:pt idx="8">
                  <c:v>3270.6666666666665</c:v>
                </c:pt>
              </c:numCache>
            </c:numRef>
          </c:val>
        </c:ser>
        <c:ser>
          <c:idx val="1"/>
          <c:order val="1"/>
          <c:tx>
            <c:strRef>
              <c:f>Sheet8!$B$39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Sheet8!$C$37:$K$37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Sheet8!$C$39:$K$39</c:f>
              <c:numCache>
                <c:formatCode>#,##0.0</c:formatCode>
                <c:ptCount val="9"/>
                <c:pt idx="0">
                  <c:v>52182.666666666657</c:v>
                </c:pt>
                <c:pt idx="1">
                  <c:v>12937</c:v>
                </c:pt>
                <c:pt idx="2">
                  <c:v>12775.666666666668</c:v>
                </c:pt>
                <c:pt idx="3">
                  <c:v>9952.3333333333339</c:v>
                </c:pt>
                <c:pt idx="4">
                  <c:v>3265.333333333333</c:v>
                </c:pt>
                <c:pt idx="5">
                  <c:v>3297.0000000000009</c:v>
                </c:pt>
                <c:pt idx="6">
                  <c:v>5522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78208"/>
        <c:axId val="153679744"/>
      </c:barChart>
      <c:catAx>
        <c:axId val="153678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679744"/>
        <c:crosses val="autoZero"/>
        <c:auto val="1"/>
        <c:lblAlgn val="ctr"/>
        <c:lblOffset val="100"/>
        <c:noMultiLvlLbl val="0"/>
      </c:catAx>
      <c:valAx>
        <c:axId val="15367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367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Sheet8!$B$41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Sheet8!$C$37:$I$37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Sheet8!$C$41:$I$41</c:f>
              <c:numCache>
                <c:formatCode>#,##0</c:formatCode>
                <c:ptCount val="7"/>
                <c:pt idx="0">
                  <c:v>394468868</c:v>
                </c:pt>
                <c:pt idx="1">
                  <c:v>394428889</c:v>
                </c:pt>
                <c:pt idx="2">
                  <c:v>394428872</c:v>
                </c:pt>
                <c:pt idx="3">
                  <c:v>471015610</c:v>
                </c:pt>
                <c:pt idx="4">
                  <c:v>471015606</c:v>
                </c:pt>
                <c:pt idx="5">
                  <c:v>471015589</c:v>
                </c:pt>
                <c:pt idx="6">
                  <c:v>184924181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92416"/>
        <c:axId val="153718784"/>
      </c:barChart>
      <c:catAx>
        <c:axId val="153692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718784"/>
        <c:crosses val="autoZero"/>
        <c:auto val="1"/>
        <c:lblAlgn val="ctr"/>
        <c:lblOffset val="100"/>
        <c:noMultiLvlLbl val="0"/>
      </c:catAx>
      <c:valAx>
        <c:axId val="153718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369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Sheet9!$C$37:$K$37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Sheet9!$C$38:$K$38</c:f>
              <c:numCache>
                <c:formatCode>#,##0.0</c:formatCode>
                <c:ptCount val="9"/>
                <c:pt idx="0">
                  <c:v>259.66666666666663</c:v>
                </c:pt>
                <c:pt idx="1">
                  <c:v>104.33333333333333</c:v>
                </c:pt>
                <c:pt idx="2">
                  <c:v>100.33333333333333</c:v>
                </c:pt>
                <c:pt idx="3">
                  <c:v>369.33333333333331</c:v>
                </c:pt>
                <c:pt idx="4">
                  <c:v>229</c:v>
                </c:pt>
                <c:pt idx="5">
                  <c:v>260.33333333333331</c:v>
                </c:pt>
                <c:pt idx="6">
                  <c:v>83.999999999999986</c:v>
                </c:pt>
                <c:pt idx="7">
                  <c:v>115.66666666666667</c:v>
                </c:pt>
                <c:pt idx="8">
                  <c:v>161.33333333333334</c:v>
                </c:pt>
              </c:numCache>
            </c:numRef>
          </c:val>
        </c:ser>
        <c:ser>
          <c:idx val="1"/>
          <c:order val="1"/>
          <c:tx>
            <c:strRef>
              <c:f>Sheet9!$B$39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Sheet9!$C$37:$K$37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Sheet9!$C$39:$K$39</c:f>
              <c:numCache>
                <c:formatCode>#,##0.0</c:formatCode>
                <c:ptCount val="9"/>
                <c:pt idx="0">
                  <c:v>850.99999999999989</c:v>
                </c:pt>
                <c:pt idx="1">
                  <c:v>129</c:v>
                </c:pt>
                <c:pt idx="2">
                  <c:v>125.66666666666667</c:v>
                </c:pt>
                <c:pt idx="3">
                  <c:v>530</c:v>
                </c:pt>
                <c:pt idx="4">
                  <c:v>72.666666666666686</c:v>
                </c:pt>
                <c:pt idx="5">
                  <c:v>25.666666666666686</c:v>
                </c:pt>
                <c:pt idx="6">
                  <c:v>265.66666666666663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80768"/>
        <c:axId val="153498368"/>
      </c:barChart>
      <c:catAx>
        <c:axId val="152480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498368"/>
        <c:crosses val="autoZero"/>
        <c:auto val="1"/>
        <c:lblAlgn val="ctr"/>
        <c:lblOffset val="100"/>
        <c:noMultiLvlLbl val="0"/>
      </c:catAx>
      <c:valAx>
        <c:axId val="153498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248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Sheet9!$B$41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Sheet9!$C$37:$I$37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Sheet9!$C$41:$I$41</c:f>
              <c:numCache>
                <c:formatCode>#,##0</c:formatCode>
                <c:ptCount val="7"/>
                <c:pt idx="0">
                  <c:v>12872468</c:v>
                </c:pt>
                <c:pt idx="1">
                  <c:v>12622475</c:v>
                </c:pt>
                <c:pt idx="2">
                  <c:v>11872475</c:v>
                </c:pt>
                <c:pt idx="3">
                  <c:v>12787102</c:v>
                </c:pt>
                <c:pt idx="4">
                  <c:v>12787087</c:v>
                </c:pt>
                <c:pt idx="5">
                  <c:v>12037087</c:v>
                </c:pt>
                <c:pt idx="6">
                  <c:v>5472477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35616"/>
        <c:axId val="153537152"/>
      </c:barChart>
      <c:catAx>
        <c:axId val="153535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537152"/>
        <c:crosses val="autoZero"/>
        <c:auto val="1"/>
        <c:lblAlgn val="ctr"/>
        <c:lblOffset val="100"/>
        <c:noMultiLvlLbl val="0"/>
      </c:catAx>
      <c:valAx>
        <c:axId val="153537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353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Sheet10!$C$37:$K$37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Sheet10!$C$38:$K$38</c:f>
              <c:numCache>
                <c:formatCode>#,##0.0</c:formatCode>
                <c:ptCount val="9"/>
                <c:pt idx="0">
                  <c:v>2660.3333333333335</c:v>
                </c:pt>
                <c:pt idx="1">
                  <c:v>1008</c:v>
                </c:pt>
                <c:pt idx="2">
                  <c:v>1027.6666666666665</c:v>
                </c:pt>
                <c:pt idx="3">
                  <c:v>1784</c:v>
                </c:pt>
                <c:pt idx="4">
                  <c:v>936.33333333333337</c:v>
                </c:pt>
                <c:pt idx="5">
                  <c:v>956.66666666666663</c:v>
                </c:pt>
                <c:pt idx="6">
                  <c:v>846.66666666666674</c:v>
                </c:pt>
                <c:pt idx="7">
                  <c:v>1147</c:v>
                </c:pt>
                <c:pt idx="8">
                  <c:v>670.66666666666663</c:v>
                </c:pt>
              </c:numCache>
            </c:numRef>
          </c:val>
        </c:ser>
        <c:ser>
          <c:idx val="1"/>
          <c:order val="1"/>
          <c:tx>
            <c:strRef>
              <c:f>Sheet10!$B$39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Sheet10!$C$37:$K$37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Sheet10!$C$39:$K$39</c:f>
              <c:numCache>
                <c:formatCode>#,##0.0</c:formatCode>
                <c:ptCount val="9"/>
                <c:pt idx="0">
                  <c:v>8144</c:v>
                </c:pt>
                <c:pt idx="1">
                  <c:v>1235</c:v>
                </c:pt>
                <c:pt idx="2">
                  <c:v>1157.666666666667</c:v>
                </c:pt>
                <c:pt idx="3">
                  <c:v>3613.666666666667</c:v>
                </c:pt>
                <c:pt idx="4">
                  <c:v>425.99999999999989</c:v>
                </c:pt>
                <c:pt idx="5">
                  <c:v>390.00000000000011</c:v>
                </c:pt>
                <c:pt idx="6">
                  <c:v>2530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19840"/>
        <c:axId val="155221376"/>
      </c:barChart>
      <c:catAx>
        <c:axId val="155219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221376"/>
        <c:crosses val="autoZero"/>
        <c:auto val="1"/>
        <c:lblAlgn val="ctr"/>
        <c:lblOffset val="100"/>
        <c:noMultiLvlLbl val="0"/>
      </c:catAx>
      <c:valAx>
        <c:axId val="155221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521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Sheet1!$C$41:$I$41</c:f>
              <c:numCache>
                <c:formatCode>#,##0</c:formatCode>
                <c:ptCount val="7"/>
                <c:pt idx="0">
                  <c:v>28</c:v>
                </c:pt>
                <c:pt idx="1">
                  <c:v>40</c:v>
                </c:pt>
                <c:pt idx="2">
                  <c:v>28</c:v>
                </c:pt>
                <c:pt idx="3">
                  <c:v>40</c:v>
                </c:pt>
                <c:pt idx="4">
                  <c:v>40</c:v>
                </c:pt>
                <c:pt idx="5">
                  <c:v>28</c:v>
                </c:pt>
                <c:pt idx="6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90592"/>
        <c:axId val="145412864"/>
      </c:barChart>
      <c:catAx>
        <c:axId val="145390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412864"/>
        <c:crosses val="autoZero"/>
        <c:auto val="1"/>
        <c:lblAlgn val="ctr"/>
        <c:lblOffset val="100"/>
        <c:noMultiLvlLbl val="0"/>
      </c:catAx>
      <c:valAx>
        <c:axId val="145412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4539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Sheet10!$B$41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Sheet10!$C$37:$I$37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Sheet10!$C$41:$I$41</c:f>
              <c:numCache>
                <c:formatCode>#,##0</c:formatCode>
                <c:ptCount val="7"/>
                <c:pt idx="0">
                  <c:v>129722895</c:v>
                </c:pt>
                <c:pt idx="1">
                  <c:v>127222890</c:v>
                </c:pt>
                <c:pt idx="2">
                  <c:v>119722890</c:v>
                </c:pt>
                <c:pt idx="3">
                  <c:v>128871260</c:v>
                </c:pt>
                <c:pt idx="4">
                  <c:v>128871259</c:v>
                </c:pt>
                <c:pt idx="5">
                  <c:v>121371259</c:v>
                </c:pt>
                <c:pt idx="6">
                  <c:v>55722893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62976"/>
        <c:axId val="155264512"/>
      </c:barChart>
      <c:catAx>
        <c:axId val="155262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264512"/>
        <c:crosses val="autoZero"/>
        <c:auto val="1"/>
        <c:lblAlgn val="ctr"/>
        <c:lblOffset val="100"/>
        <c:noMultiLvlLbl val="0"/>
      </c:catAx>
      <c:valAx>
        <c:axId val="155264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526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Sheet11!$C$37:$K$37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Sheet11!$C$38:$K$38</c:f>
              <c:numCache>
                <c:formatCode>#,##0.0</c:formatCode>
                <c:ptCount val="9"/>
                <c:pt idx="0">
                  <c:v>26527.666666666664</c:v>
                </c:pt>
                <c:pt idx="1">
                  <c:v>9913.9999999999982</c:v>
                </c:pt>
                <c:pt idx="2">
                  <c:v>10212.333333333334</c:v>
                </c:pt>
                <c:pt idx="3">
                  <c:v>16312.666666666666</c:v>
                </c:pt>
                <c:pt idx="4">
                  <c:v>8169.333333333333</c:v>
                </c:pt>
                <c:pt idx="5">
                  <c:v>8314.6666666666661</c:v>
                </c:pt>
                <c:pt idx="6">
                  <c:v>8062.6666666666661</c:v>
                </c:pt>
                <c:pt idx="7">
                  <c:v>11596.333333333334</c:v>
                </c:pt>
                <c:pt idx="8">
                  <c:v>5621.333333333333</c:v>
                </c:pt>
              </c:numCache>
            </c:numRef>
          </c:val>
        </c:ser>
        <c:ser>
          <c:idx val="1"/>
          <c:order val="1"/>
          <c:tx>
            <c:strRef>
              <c:f>Sheet11!$B$39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Sheet11!$C$37:$K$37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Sheet11!$C$39:$K$39</c:f>
              <c:numCache>
                <c:formatCode>#,##0.0</c:formatCode>
                <c:ptCount val="9"/>
                <c:pt idx="0">
                  <c:v>79946</c:v>
                </c:pt>
                <c:pt idx="1">
                  <c:v>13620.000000000002</c:v>
                </c:pt>
                <c:pt idx="2">
                  <c:v>11657.999999999995</c:v>
                </c:pt>
                <c:pt idx="3">
                  <c:v>32994</c:v>
                </c:pt>
                <c:pt idx="4">
                  <c:v>4341.666666666667</c:v>
                </c:pt>
                <c:pt idx="5">
                  <c:v>3728.6666666666679</c:v>
                </c:pt>
                <c:pt idx="6">
                  <c:v>23027.666666666664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23488"/>
        <c:axId val="155425024"/>
      </c:barChart>
      <c:catAx>
        <c:axId val="155423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425024"/>
        <c:crosses val="autoZero"/>
        <c:auto val="1"/>
        <c:lblAlgn val="ctr"/>
        <c:lblOffset val="100"/>
        <c:noMultiLvlLbl val="0"/>
      </c:catAx>
      <c:valAx>
        <c:axId val="155425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542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Sheet11!$B$41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Sheet11!$C$37:$I$37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Sheet11!$C$41:$I$41</c:f>
              <c:numCache>
                <c:formatCode>#,##0</c:formatCode>
                <c:ptCount val="7"/>
                <c:pt idx="0">
                  <c:v>1307232793</c:v>
                </c:pt>
                <c:pt idx="1">
                  <c:v>1282232786</c:v>
                </c:pt>
                <c:pt idx="2">
                  <c:v>1207232786</c:v>
                </c:pt>
                <c:pt idx="3">
                  <c:v>1298716394</c:v>
                </c:pt>
                <c:pt idx="4">
                  <c:v>1298716389</c:v>
                </c:pt>
                <c:pt idx="5">
                  <c:v>1223716389</c:v>
                </c:pt>
                <c:pt idx="6">
                  <c:v>567232787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22464"/>
        <c:axId val="153436544"/>
      </c:barChart>
      <c:catAx>
        <c:axId val="153422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436544"/>
        <c:crosses val="autoZero"/>
        <c:auto val="1"/>
        <c:lblAlgn val="ctr"/>
        <c:lblOffset val="100"/>
        <c:noMultiLvlLbl val="0"/>
      </c:catAx>
      <c:valAx>
        <c:axId val="153436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342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Sheet12!$C$37:$K$37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Sheet12!$C$38:$K$38</c:f>
              <c:numCache>
                <c:formatCode>#,##0.0</c:formatCode>
                <c:ptCount val="9"/>
                <c:pt idx="0">
                  <c:v>148</c:v>
                </c:pt>
                <c:pt idx="1">
                  <c:v>29</c:v>
                </c:pt>
                <c:pt idx="2">
                  <c:v>28.333333333333336</c:v>
                </c:pt>
                <c:pt idx="3">
                  <c:v>229</c:v>
                </c:pt>
                <c:pt idx="4">
                  <c:v>78</c:v>
                </c:pt>
                <c:pt idx="5">
                  <c:v>83</c:v>
                </c:pt>
                <c:pt idx="6">
                  <c:v>70.333333333333329</c:v>
                </c:pt>
                <c:pt idx="7">
                  <c:v>8.6666666666666661</c:v>
                </c:pt>
                <c:pt idx="8">
                  <c:v>25.666666666666668</c:v>
                </c:pt>
              </c:numCache>
            </c:numRef>
          </c:val>
        </c:ser>
        <c:ser>
          <c:idx val="1"/>
          <c:order val="1"/>
          <c:tx>
            <c:strRef>
              <c:f>Sheet12!$B$39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Sheet12!$C$37:$K$37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Sheet12!$C$39:$K$39</c:f>
              <c:numCache>
                <c:formatCode>#,##0.0</c:formatCode>
                <c:ptCount val="9"/>
                <c:pt idx="0">
                  <c:v>151.33333333333331</c:v>
                </c:pt>
                <c:pt idx="1">
                  <c:v>64</c:v>
                </c:pt>
                <c:pt idx="2">
                  <c:v>49.666666666666664</c:v>
                </c:pt>
                <c:pt idx="3">
                  <c:v>291</c:v>
                </c:pt>
                <c:pt idx="4">
                  <c:v>73.333333333333343</c:v>
                </c:pt>
                <c:pt idx="5">
                  <c:v>52.333333333333343</c:v>
                </c:pt>
                <c:pt idx="6">
                  <c:v>30.666666666666671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31904"/>
        <c:axId val="155133440"/>
      </c:barChart>
      <c:catAx>
        <c:axId val="155131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133440"/>
        <c:crosses val="autoZero"/>
        <c:auto val="1"/>
        <c:lblAlgn val="ctr"/>
        <c:lblOffset val="100"/>
        <c:noMultiLvlLbl val="0"/>
      </c:catAx>
      <c:valAx>
        <c:axId val="155133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513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Sheet12!$B$41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Sheet12!$C$37:$I$37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Sheet12!$C$41:$I$41</c:f>
              <c:numCache>
                <c:formatCode>#,##0</c:formatCode>
                <c:ptCount val="7"/>
                <c:pt idx="0">
                  <c:v>1787253</c:v>
                </c:pt>
                <c:pt idx="1">
                  <c:v>2249785</c:v>
                </c:pt>
                <c:pt idx="2">
                  <c:v>1802584</c:v>
                </c:pt>
                <c:pt idx="3">
                  <c:v>1763995</c:v>
                </c:pt>
                <c:pt idx="4">
                  <c:v>2203118.3333333335</c:v>
                </c:pt>
                <c:pt idx="5">
                  <c:v>1762584</c:v>
                </c:pt>
                <c:pt idx="6">
                  <c:v>704000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54304"/>
        <c:axId val="155155840"/>
      </c:barChart>
      <c:catAx>
        <c:axId val="155154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155840"/>
        <c:crosses val="autoZero"/>
        <c:auto val="1"/>
        <c:lblAlgn val="ctr"/>
        <c:lblOffset val="100"/>
        <c:noMultiLvlLbl val="0"/>
      </c:catAx>
      <c:valAx>
        <c:axId val="155155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515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Sheet13!$C$37:$K$37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Sheet13!$C$38:$K$38</c:f>
              <c:numCache>
                <c:formatCode>#,##0.0</c:formatCode>
                <c:ptCount val="9"/>
                <c:pt idx="0">
                  <c:v>643</c:v>
                </c:pt>
                <c:pt idx="1">
                  <c:v>219</c:v>
                </c:pt>
                <c:pt idx="2">
                  <c:v>205.66666666666669</c:v>
                </c:pt>
                <c:pt idx="3">
                  <c:v>504.66666666666669</c:v>
                </c:pt>
                <c:pt idx="4">
                  <c:v>223.66666666666666</c:v>
                </c:pt>
                <c:pt idx="5">
                  <c:v>213</c:v>
                </c:pt>
                <c:pt idx="6">
                  <c:v>154.33333333333331</c:v>
                </c:pt>
                <c:pt idx="7">
                  <c:v>73.333333333333329</c:v>
                </c:pt>
                <c:pt idx="8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Sheet13!$B$39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Sheet13!$C$37:$K$37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Sheet13!$C$39:$K$39</c:f>
              <c:numCache>
                <c:formatCode>#,##0.0</c:formatCode>
                <c:ptCount val="9"/>
                <c:pt idx="0">
                  <c:v>1115.3333333333335</c:v>
                </c:pt>
                <c:pt idx="1">
                  <c:v>381</c:v>
                </c:pt>
                <c:pt idx="2">
                  <c:v>388.99999999999994</c:v>
                </c:pt>
                <c:pt idx="3">
                  <c:v>790.33333333333326</c:v>
                </c:pt>
                <c:pt idx="4">
                  <c:v>228.66666666666666</c:v>
                </c:pt>
                <c:pt idx="5">
                  <c:v>218.66666666666669</c:v>
                </c:pt>
                <c:pt idx="6">
                  <c:v>214.33333333333337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23712"/>
        <c:axId val="155525504"/>
      </c:barChart>
      <c:catAx>
        <c:axId val="155523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525504"/>
        <c:crosses val="autoZero"/>
        <c:auto val="1"/>
        <c:lblAlgn val="ctr"/>
        <c:lblOffset val="100"/>
        <c:noMultiLvlLbl val="0"/>
      </c:catAx>
      <c:valAx>
        <c:axId val="155525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552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Sheet13!$B$41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Sheet13!$C$37:$I$37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Sheet13!$C$41:$I$41</c:f>
              <c:numCache>
                <c:formatCode>#,##0</c:formatCode>
                <c:ptCount val="7"/>
                <c:pt idx="0">
                  <c:v>18786512</c:v>
                </c:pt>
                <c:pt idx="1">
                  <c:v>23399332</c:v>
                </c:pt>
                <c:pt idx="2">
                  <c:v>18939843</c:v>
                </c:pt>
                <c:pt idx="3">
                  <c:v>18541254</c:v>
                </c:pt>
                <c:pt idx="4">
                  <c:v>22999332</c:v>
                </c:pt>
                <c:pt idx="5">
                  <c:v>18539843</c:v>
                </c:pt>
                <c:pt idx="6">
                  <c:v>7506385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42272"/>
        <c:axId val="155543808"/>
      </c:barChart>
      <c:catAx>
        <c:axId val="155542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543808"/>
        <c:crosses val="autoZero"/>
        <c:auto val="1"/>
        <c:lblAlgn val="ctr"/>
        <c:lblOffset val="100"/>
        <c:noMultiLvlLbl val="0"/>
      </c:catAx>
      <c:valAx>
        <c:axId val="155543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554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Sheet14!$C$37:$K$37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Sheet14!$C$38:$K$38</c:f>
              <c:numCache>
                <c:formatCode>#,##0.0</c:formatCode>
                <c:ptCount val="9"/>
                <c:pt idx="0">
                  <c:v>5770.666666666667</c:v>
                </c:pt>
                <c:pt idx="1">
                  <c:v>2119.6666666666665</c:v>
                </c:pt>
                <c:pt idx="2">
                  <c:v>2213.6666666666665</c:v>
                </c:pt>
                <c:pt idx="3">
                  <c:v>1991.6666666666667</c:v>
                </c:pt>
                <c:pt idx="4">
                  <c:v>998</c:v>
                </c:pt>
                <c:pt idx="5">
                  <c:v>967</c:v>
                </c:pt>
                <c:pt idx="6">
                  <c:v>1155.6666666666667</c:v>
                </c:pt>
                <c:pt idx="7">
                  <c:v>706</c:v>
                </c:pt>
                <c:pt idx="8">
                  <c:v>244.33333333333334</c:v>
                </c:pt>
              </c:numCache>
            </c:numRef>
          </c:val>
        </c:ser>
        <c:ser>
          <c:idx val="1"/>
          <c:order val="1"/>
          <c:tx>
            <c:strRef>
              <c:f>Sheet14!$B$39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Sheet14!$C$37:$K$37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Sheet14!$C$39:$K$39</c:f>
              <c:numCache>
                <c:formatCode>#,##0.0</c:formatCode>
                <c:ptCount val="9"/>
                <c:pt idx="0">
                  <c:v>10111.666666666664</c:v>
                </c:pt>
                <c:pt idx="1">
                  <c:v>3810.0000000000005</c:v>
                </c:pt>
                <c:pt idx="2">
                  <c:v>3314.3333333333335</c:v>
                </c:pt>
                <c:pt idx="3">
                  <c:v>5273</c:v>
                </c:pt>
                <c:pt idx="4">
                  <c:v>1055.6666666666665</c:v>
                </c:pt>
                <c:pt idx="5">
                  <c:v>977.66666666666674</c:v>
                </c:pt>
                <c:pt idx="6">
                  <c:v>1895.9999999999998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26560"/>
        <c:axId val="155028096"/>
      </c:barChart>
      <c:catAx>
        <c:axId val="155026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028096"/>
        <c:crosses val="autoZero"/>
        <c:auto val="1"/>
        <c:lblAlgn val="ctr"/>
        <c:lblOffset val="100"/>
        <c:noMultiLvlLbl val="0"/>
      </c:catAx>
      <c:valAx>
        <c:axId val="155028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502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Sheet14!$B$41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Sheet14!$C$37:$I$37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Sheet14!$C$41:$I$41</c:f>
              <c:numCache>
                <c:formatCode>#,##0</c:formatCode>
                <c:ptCount val="7"/>
                <c:pt idx="0">
                  <c:v>196941225</c:v>
                </c:pt>
                <c:pt idx="1">
                  <c:v>243056893</c:v>
                </c:pt>
                <c:pt idx="2">
                  <c:v>198474556</c:v>
                </c:pt>
                <c:pt idx="3">
                  <c:v>194475967</c:v>
                </c:pt>
                <c:pt idx="4">
                  <c:v>239056893</c:v>
                </c:pt>
                <c:pt idx="5">
                  <c:v>194474556</c:v>
                </c:pt>
                <c:pt idx="6">
                  <c:v>79244720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53056"/>
        <c:axId val="155718400"/>
      </c:barChart>
      <c:catAx>
        <c:axId val="155053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718400"/>
        <c:crosses val="autoZero"/>
        <c:auto val="1"/>
        <c:lblAlgn val="ctr"/>
        <c:lblOffset val="100"/>
        <c:noMultiLvlLbl val="0"/>
      </c:catAx>
      <c:valAx>
        <c:axId val="155718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505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Sheet15!$C$37:$K$37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Sheet15!$C$38:$K$38</c:f>
              <c:numCache>
                <c:formatCode>#,##0.0</c:formatCode>
                <c:ptCount val="9"/>
                <c:pt idx="0">
                  <c:v>2162.333333333333</c:v>
                </c:pt>
                <c:pt idx="1">
                  <c:v>740.66666666666663</c:v>
                </c:pt>
                <c:pt idx="2">
                  <c:v>732.33333333333337</c:v>
                </c:pt>
                <c:pt idx="3">
                  <c:v>816.33333333333337</c:v>
                </c:pt>
                <c:pt idx="4">
                  <c:v>493.66666666666669</c:v>
                </c:pt>
                <c:pt idx="5">
                  <c:v>489</c:v>
                </c:pt>
                <c:pt idx="6">
                  <c:v>316.66666666666663</c:v>
                </c:pt>
                <c:pt idx="7">
                  <c:v>630.33333333333337</c:v>
                </c:pt>
                <c:pt idx="8">
                  <c:v>223.66666666666666</c:v>
                </c:pt>
              </c:numCache>
            </c:numRef>
          </c:val>
        </c:ser>
        <c:ser>
          <c:idx val="1"/>
          <c:order val="1"/>
          <c:tx>
            <c:strRef>
              <c:f>Sheet15!$B$39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Sheet15!$C$37:$K$37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Sheet15!$C$39:$K$39</c:f>
              <c:numCache>
                <c:formatCode>#,##0.0</c:formatCode>
                <c:ptCount val="9"/>
                <c:pt idx="0">
                  <c:v>4446.0000000000009</c:v>
                </c:pt>
                <c:pt idx="1">
                  <c:v>890.99999999999989</c:v>
                </c:pt>
                <c:pt idx="2">
                  <c:v>848.66666666666663</c:v>
                </c:pt>
                <c:pt idx="3">
                  <c:v>2153</c:v>
                </c:pt>
                <c:pt idx="4">
                  <c:v>400.66666666666669</c:v>
                </c:pt>
                <c:pt idx="5">
                  <c:v>332.33333333333337</c:v>
                </c:pt>
                <c:pt idx="6">
                  <c:v>921.66666666666686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28768"/>
        <c:axId val="157730304"/>
      </c:barChart>
      <c:catAx>
        <c:axId val="157728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730304"/>
        <c:crosses val="autoZero"/>
        <c:auto val="1"/>
        <c:lblAlgn val="ctr"/>
        <c:lblOffset val="100"/>
        <c:noMultiLvlLbl val="0"/>
      </c:catAx>
      <c:valAx>
        <c:axId val="157730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772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Sheet2!$C$37:$K$37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Sheet2!$C$38:$K$38</c:f>
              <c:numCache>
                <c:formatCode>#,##0.0</c:formatCode>
                <c:ptCount val="9"/>
                <c:pt idx="0">
                  <c:v>96.666666666666671</c:v>
                </c:pt>
                <c:pt idx="1">
                  <c:v>8</c:v>
                </c:pt>
                <c:pt idx="2">
                  <c:v>8</c:v>
                </c:pt>
                <c:pt idx="3">
                  <c:v>78</c:v>
                </c:pt>
                <c:pt idx="4">
                  <c:v>10.666666666666666</c:v>
                </c:pt>
                <c:pt idx="5">
                  <c:v>0</c:v>
                </c:pt>
                <c:pt idx="6">
                  <c:v>61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Sheet2!$C$37:$K$37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Sheet2!$C$39:$K$39</c:f>
              <c:numCache>
                <c:formatCode>#,##0.0</c:formatCode>
                <c:ptCount val="9"/>
                <c:pt idx="0">
                  <c:v>43.666666666666671</c:v>
                </c:pt>
                <c:pt idx="1">
                  <c:v>16</c:v>
                </c:pt>
                <c:pt idx="2">
                  <c:v>16.333333333333332</c:v>
                </c:pt>
                <c:pt idx="3">
                  <c:v>57.333333333333343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56096"/>
        <c:axId val="151557632"/>
      </c:barChart>
      <c:catAx>
        <c:axId val="151556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1557632"/>
        <c:crosses val="autoZero"/>
        <c:auto val="1"/>
        <c:lblAlgn val="ctr"/>
        <c:lblOffset val="100"/>
        <c:noMultiLvlLbl val="0"/>
      </c:catAx>
      <c:valAx>
        <c:axId val="15155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155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Sheet15!$B$41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Sheet15!$C$37:$I$37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Sheet15!$C$41:$I$41</c:f>
              <c:numCache>
                <c:formatCode>#,##0</c:formatCode>
                <c:ptCount val="7"/>
                <c:pt idx="0">
                  <c:v>102068216</c:v>
                </c:pt>
                <c:pt idx="1">
                  <c:v>100367182</c:v>
                </c:pt>
                <c:pt idx="2">
                  <c:v>94448479</c:v>
                </c:pt>
                <c:pt idx="3">
                  <c:v>93002712</c:v>
                </c:pt>
                <c:pt idx="4">
                  <c:v>98537198.333333328</c:v>
                </c:pt>
                <c:pt idx="5">
                  <c:v>87102982</c:v>
                </c:pt>
                <c:pt idx="6">
                  <c:v>46379642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42976"/>
        <c:axId val="157744512"/>
      </c:barChart>
      <c:catAx>
        <c:axId val="157742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744512"/>
        <c:crosses val="autoZero"/>
        <c:auto val="1"/>
        <c:lblAlgn val="ctr"/>
        <c:lblOffset val="100"/>
        <c:noMultiLvlLbl val="0"/>
      </c:catAx>
      <c:valAx>
        <c:axId val="157744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774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Sheet16!$C$37:$K$37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Sheet16!$C$38:$K$38</c:f>
              <c:numCache>
                <c:formatCode>#,##0.0</c:formatCode>
                <c:ptCount val="9"/>
                <c:pt idx="0">
                  <c:v>21108</c:v>
                </c:pt>
                <c:pt idx="1">
                  <c:v>7556</c:v>
                </c:pt>
                <c:pt idx="2">
                  <c:v>7377.6666666666661</c:v>
                </c:pt>
                <c:pt idx="3">
                  <c:v>7040.666666666667</c:v>
                </c:pt>
                <c:pt idx="4">
                  <c:v>3359</c:v>
                </c:pt>
                <c:pt idx="5">
                  <c:v>3343.3333333333335</c:v>
                </c:pt>
                <c:pt idx="6">
                  <c:v>3041.6666666666661</c:v>
                </c:pt>
                <c:pt idx="7">
                  <c:v>6386</c:v>
                </c:pt>
                <c:pt idx="8">
                  <c:v>1414.6666666666667</c:v>
                </c:pt>
              </c:numCache>
            </c:numRef>
          </c:val>
        </c:ser>
        <c:ser>
          <c:idx val="1"/>
          <c:order val="1"/>
          <c:tx>
            <c:strRef>
              <c:f>Sheet16!$B$39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Sheet16!$C$37:$K$37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Sheet16!$C$39:$K$39</c:f>
              <c:numCache>
                <c:formatCode>#,##0.0</c:formatCode>
                <c:ptCount val="9"/>
                <c:pt idx="0">
                  <c:v>43932.666666666672</c:v>
                </c:pt>
                <c:pt idx="1">
                  <c:v>8771</c:v>
                </c:pt>
                <c:pt idx="2">
                  <c:v>8717.0000000000018</c:v>
                </c:pt>
                <c:pt idx="3">
                  <c:v>19188</c:v>
                </c:pt>
                <c:pt idx="4">
                  <c:v>2584.666666666667</c:v>
                </c:pt>
                <c:pt idx="5">
                  <c:v>2178.9999999999995</c:v>
                </c:pt>
                <c:pt idx="6">
                  <c:v>9457.0000000000018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83392"/>
        <c:axId val="157934336"/>
      </c:barChart>
      <c:catAx>
        <c:axId val="157883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934336"/>
        <c:crosses val="autoZero"/>
        <c:auto val="1"/>
        <c:lblAlgn val="ctr"/>
        <c:lblOffset val="100"/>
        <c:noMultiLvlLbl val="0"/>
      </c:catAx>
      <c:valAx>
        <c:axId val="157934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788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Sheet16!$B$41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Sheet16!$C$37:$I$37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Sheet16!$C$41:$I$41</c:f>
              <c:numCache>
                <c:formatCode>#,##0</c:formatCode>
                <c:ptCount val="7"/>
                <c:pt idx="0">
                  <c:v>1036016757</c:v>
                </c:pt>
                <c:pt idx="1">
                  <c:v>1019005810</c:v>
                </c:pt>
                <c:pt idx="2">
                  <c:v>959819407</c:v>
                </c:pt>
                <c:pt idx="3">
                  <c:v>940324279</c:v>
                </c:pt>
                <c:pt idx="4">
                  <c:v>995649406.33333337</c:v>
                </c:pt>
                <c:pt idx="5">
                  <c:v>881329136.66666663</c:v>
                </c:pt>
                <c:pt idx="6">
                  <c:v>474011652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40544"/>
        <c:axId val="154942080"/>
      </c:barChart>
      <c:catAx>
        <c:axId val="154940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4942080"/>
        <c:crosses val="autoZero"/>
        <c:auto val="1"/>
        <c:lblAlgn val="ctr"/>
        <c:lblOffset val="100"/>
        <c:noMultiLvlLbl val="0"/>
      </c:catAx>
      <c:valAx>
        <c:axId val="154942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494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Sheet17!$C$37:$K$37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Sheet17!$C$38:$K$38</c:f>
              <c:numCache>
                <c:formatCode>#,##0.0</c:formatCode>
                <c:ptCount val="9"/>
                <c:pt idx="0">
                  <c:v>213430.66666666666</c:v>
                </c:pt>
                <c:pt idx="1">
                  <c:v>75586.666666666686</c:v>
                </c:pt>
                <c:pt idx="2">
                  <c:v>74856.666666666686</c:v>
                </c:pt>
                <c:pt idx="3">
                  <c:v>67938.333333333328</c:v>
                </c:pt>
                <c:pt idx="4">
                  <c:v>32942.333333333336</c:v>
                </c:pt>
                <c:pt idx="5">
                  <c:v>32749.666666666668</c:v>
                </c:pt>
                <c:pt idx="6">
                  <c:v>31440.666666666664</c:v>
                </c:pt>
                <c:pt idx="7">
                  <c:v>62466.666666666664</c:v>
                </c:pt>
                <c:pt idx="8">
                  <c:v>11622</c:v>
                </c:pt>
              </c:numCache>
            </c:numRef>
          </c:val>
        </c:ser>
        <c:ser>
          <c:idx val="1"/>
          <c:order val="1"/>
          <c:tx>
            <c:strRef>
              <c:f>Sheet17!$B$39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Sheet17!$C$37:$K$37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Sheet17!$C$39:$K$39</c:f>
              <c:numCache>
                <c:formatCode>#,##0.0</c:formatCode>
                <c:ptCount val="9"/>
                <c:pt idx="0">
                  <c:v>427595.00000000012</c:v>
                </c:pt>
                <c:pt idx="1">
                  <c:v>89300.333333333314</c:v>
                </c:pt>
                <c:pt idx="2">
                  <c:v>84473.666666666657</c:v>
                </c:pt>
                <c:pt idx="3">
                  <c:v>189701.33333333331</c:v>
                </c:pt>
                <c:pt idx="4">
                  <c:v>24414</c:v>
                </c:pt>
                <c:pt idx="5">
                  <c:v>22240.333333333332</c:v>
                </c:pt>
                <c:pt idx="6">
                  <c:v>92324.333333333343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72960"/>
        <c:axId val="154074496"/>
      </c:barChart>
      <c:catAx>
        <c:axId val="154072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4074496"/>
        <c:crosses val="autoZero"/>
        <c:auto val="1"/>
        <c:lblAlgn val="ctr"/>
        <c:lblOffset val="100"/>
        <c:noMultiLvlLbl val="0"/>
      </c:catAx>
      <c:valAx>
        <c:axId val="154074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407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Sheet17!$B$41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Sheet17!$C$37:$I$37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Sheet17!$C$41:$I$41</c:f>
              <c:numCache>
                <c:formatCode>#,##0</c:formatCode>
                <c:ptCount val="7"/>
                <c:pt idx="0">
                  <c:v>10513667762</c:v>
                </c:pt>
                <c:pt idx="1">
                  <c:v>10343557825</c:v>
                </c:pt>
                <c:pt idx="2">
                  <c:v>9751694422</c:v>
                </c:pt>
                <c:pt idx="3">
                  <c:v>9506224114</c:v>
                </c:pt>
                <c:pt idx="4">
                  <c:v>10059710102</c:v>
                </c:pt>
                <c:pt idx="5">
                  <c:v>8916251365.666666</c:v>
                </c:pt>
                <c:pt idx="6">
                  <c:v>4841867567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91328"/>
        <c:axId val="158692864"/>
      </c:barChart>
      <c:catAx>
        <c:axId val="158691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8692864"/>
        <c:crosses val="autoZero"/>
        <c:auto val="1"/>
        <c:lblAlgn val="ctr"/>
        <c:lblOffset val="100"/>
        <c:noMultiLvlLbl val="0"/>
      </c:catAx>
      <c:valAx>
        <c:axId val="158692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869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Sheet18!$B$38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Sheet18!$C$37:$K$37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Sheet18!$C$38:$K$38</c:f>
              <c:numCache>
                <c:formatCode>#,##0.0</c:formatCode>
                <c:ptCount val="9"/>
                <c:pt idx="0">
                  <c:v>994.66666666666674</c:v>
                </c:pt>
                <c:pt idx="1">
                  <c:v>366.33333333333331</c:v>
                </c:pt>
                <c:pt idx="2">
                  <c:v>355.00000000000006</c:v>
                </c:pt>
                <c:pt idx="3">
                  <c:v>811</c:v>
                </c:pt>
                <c:pt idx="4">
                  <c:v>457.66666666666669</c:v>
                </c:pt>
                <c:pt idx="5">
                  <c:v>447</c:v>
                </c:pt>
                <c:pt idx="6">
                  <c:v>270.00000000000006</c:v>
                </c:pt>
                <c:pt idx="7">
                  <c:v>320.33333333333331</c:v>
                </c:pt>
                <c:pt idx="8">
                  <c:v>249.66666666666666</c:v>
                </c:pt>
              </c:numCache>
            </c:numRef>
          </c:val>
        </c:ser>
        <c:ser>
          <c:idx val="1"/>
          <c:order val="1"/>
          <c:tx>
            <c:strRef>
              <c:f>Sheet18!$B$39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Sheet18!$C$37:$K$37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Sheet18!$C$39:$K$39</c:f>
              <c:numCache>
                <c:formatCode>#,##0.0</c:formatCode>
                <c:ptCount val="9"/>
                <c:pt idx="0">
                  <c:v>1729.9999999999998</c:v>
                </c:pt>
                <c:pt idx="1">
                  <c:v>682.00000000000023</c:v>
                </c:pt>
                <c:pt idx="2">
                  <c:v>661.66666666666674</c:v>
                </c:pt>
                <c:pt idx="3">
                  <c:v>1164.6666666666667</c:v>
                </c:pt>
                <c:pt idx="4">
                  <c:v>192.33333333333331</c:v>
                </c:pt>
                <c:pt idx="5">
                  <c:v>171.66666666666663</c:v>
                </c:pt>
                <c:pt idx="6">
                  <c:v>565.33333333333348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05824"/>
        <c:axId val="156207360"/>
      </c:barChart>
      <c:catAx>
        <c:axId val="156205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207360"/>
        <c:crosses val="autoZero"/>
        <c:auto val="1"/>
        <c:lblAlgn val="ctr"/>
        <c:lblOffset val="100"/>
        <c:noMultiLvlLbl val="0"/>
      </c:catAx>
      <c:valAx>
        <c:axId val="156207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620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Sheet18!$B$41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Sheet18!$C$37:$I$37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Sheet18!$C$41:$I$41</c:f>
              <c:numCache>
                <c:formatCode>#,##0</c:formatCode>
                <c:ptCount val="7"/>
                <c:pt idx="0">
                  <c:v>53958047</c:v>
                </c:pt>
                <c:pt idx="1">
                  <c:v>53385449</c:v>
                </c:pt>
                <c:pt idx="2">
                  <c:v>49687553</c:v>
                </c:pt>
                <c:pt idx="3">
                  <c:v>48374616</c:v>
                </c:pt>
                <c:pt idx="4">
                  <c:v>52070235</c:v>
                </c:pt>
                <c:pt idx="5">
                  <c:v>48317161</c:v>
                </c:pt>
                <c:pt idx="6">
                  <c:v>23140661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32320"/>
        <c:axId val="156238208"/>
      </c:barChart>
      <c:catAx>
        <c:axId val="156232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238208"/>
        <c:crosses val="autoZero"/>
        <c:auto val="1"/>
        <c:lblAlgn val="ctr"/>
        <c:lblOffset val="100"/>
        <c:noMultiLvlLbl val="0"/>
      </c:catAx>
      <c:valAx>
        <c:axId val="156238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623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Sheet19!$B$38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Sheet19!$C$37:$K$37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Sheet19!$C$38:$K$38</c:f>
              <c:numCache>
                <c:formatCode>#,##0.0</c:formatCode>
                <c:ptCount val="9"/>
                <c:pt idx="0">
                  <c:v>81588</c:v>
                </c:pt>
                <c:pt idx="1">
                  <c:v>50893.666666666672</c:v>
                </c:pt>
                <c:pt idx="2">
                  <c:v>49934.333333333328</c:v>
                </c:pt>
                <c:pt idx="3">
                  <c:v>38251</c:v>
                </c:pt>
                <c:pt idx="4">
                  <c:v>34767.333333333336</c:v>
                </c:pt>
                <c:pt idx="5">
                  <c:v>34601</c:v>
                </c:pt>
                <c:pt idx="6">
                  <c:v>26526</c:v>
                </c:pt>
                <c:pt idx="7">
                  <c:v>45177</c:v>
                </c:pt>
                <c:pt idx="8">
                  <c:v>6058</c:v>
                </c:pt>
              </c:numCache>
            </c:numRef>
          </c:val>
        </c:ser>
        <c:ser>
          <c:idx val="1"/>
          <c:order val="1"/>
          <c:tx>
            <c:strRef>
              <c:f>Sheet19!$B$39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Sheet19!$C$37:$K$37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Sheet19!$C$39:$K$39</c:f>
              <c:numCache>
                <c:formatCode>#,##0.0</c:formatCode>
                <c:ptCount val="9"/>
                <c:pt idx="0">
                  <c:v>165504</c:v>
                </c:pt>
                <c:pt idx="1">
                  <c:v>94793.666666666672</c:v>
                </c:pt>
                <c:pt idx="2">
                  <c:v>93140.000000000015</c:v>
                </c:pt>
                <c:pt idx="3">
                  <c:v>76248</c:v>
                </c:pt>
                <c:pt idx="4">
                  <c:v>13213.333333333328</c:v>
                </c:pt>
                <c:pt idx="5">
                  <c:v>12942.666666666664</c:v>
                </c:pt>
                <c:pt idx="6">
                  <c:v>76209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63424"/>
        <c:axId val="159081600"/>
      </c:barChart>
      <c:catAx>
        <c:axId val="159063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081600"/>
        <c:crosses val="autoZero"/>
        <c:auto val="1"/>
        <c:lblAlgn val="ctr"/>
        <c:lblOffset val="100"/>
        <c:noMultiLvlLbl val="0"/>
      </c:catAx>
      <c:valAx>
        <c:axId val="159081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906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Sheet19!$B$41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Sheet19!$C$37:$I$37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Sheet19!$C$41:$I$41</c:f>
              <c:numCache>
                <c:formatCode>#,##0</c:formatCode>
                <c:ptCount val="7"/>
                <c:pt idx="0">
                  <c:v>9844168140</c:v>
                </c:pt>
                <c:pt idx="1">
                  <c:v>9798781115</c:v>
                </c:pt>
                <c:pt idx="2">
                  <c:v>9511838823</c:v>
                </c:pt>
                <c:pt idx="3">
                  <c:v>9408942918</c:v>
                </c:pt>
                <c:pt idx="4">
                  <c:v>9695874191</c:v>
                </c:pt>
                <c:pt idx="5">
                  <c:v>9403430119</c:v>
                </c:pt>
                <c:pt idx="6">
                  <c:v>7495178217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14752"/>
        <c:axId val="159116288"/>
      </c:barChart>
      <c:catAx>
        <c:axId val="159114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116288"/>
        <c:crosses val="autoZero"/>
        <c:auto val="1"/>
        <c:lblAlgn val="ctr"/>
        <c:lblOffset val="100"/>
        <c:noMultiLvlLbl val="0"/>
      </c:catAx>
      <c:valAx>
        <c:axId val="159116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911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Sheet2!$B$41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Sheet2!$C$37:$I$37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Sheet2!$C$41:$I$41</c:f>
              <c:numCache>
                <c:formatCode>#,##0</c:formatCode>
                <c:ptCount val="7"/>
                <c:pt idx="0">
                  <c:v>110</c:v>
                </c:pt>
                <c:pt idx="1">
                  <c:v>140</c:v>
                </c:pt>
                <c:pt idx="2">
                  <c:v>74</c:v>
                </c:pt>
                <c:pt idx="3">
                  <c:v>73</c:v>
                </c:pt>
                <c:pt idx="4">
                  <c:v>140</c:v>
                </c:pt>
                <c:pt idx="5">
                  <c:v>53</c:v>
                </c:pt>
                <c:pt idx="6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28640"/>
        <c:axId val="151330176"/>
      </c:barChart>
      <c:catAx>
        <c:axId val="151328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1330176"/>
        <c:crosses val="autoZero"/>
        <c:auto val="1"/>
        <c:lblAlgn val="ctr"/>
        <c:lblOffset val="100"/>
        <c:noMultiLvlLbl val="0"/>
      </c:catAx>
      <c:valAx>
        <c:axId val="151330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132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Sheet3!$C$37:$K$37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Sheet3!$C$38:$K$38</c:f>
              <c:numCache>
                <c:formatCode>#,##0.0</c:formatCode>
                <c:ptCount val="9"/>
                <c:pt idx="0">
                  <c:v>171.66666666666666</c:v>
                </c:pt>
                <c:pt idx="1">
                  <c:v>49</c:v>
                </c:pt>
                <c:pt idx="2">
                  <c:v>44.666666666666664</c:v>
                </c:pt>
                <c:pt idx="3">
                  <c:v>223.66666666666666</c:v>
                </c:pt>
                <c:pt idx="4">
                  <c:v>62</c:v>
                </c:pt>
                <c:pt idx="5">
                  <c:v>52</c:v>
                </c:pt>
                <c:pt idx="6">
                  <c:v>72.333333333333343</c:v>
                </c:pt>
                <c:pt idx="7">
                  <c:v>14.333333333333334</c:v>
                </c:pt>
                <c:pt idx="8">
                  <c:v>31</c:v>
                </c:pt>
              </c:numCache>
            </c:numRef>
          </c:val>
        </c:ser>
        <c:ser>
          <c:idx val="1"/>
          <c:order val="1"/>
          <c:tx>
            <c:strRef>
              <c:f>Sheet3!$B$39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Sheet3!$C$37:$K$37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Sheet3!$C$39:$K$39</c:f>
              <c:numCache>
                <c:formatCode>#,##0.0</c:formatCode>
                <c:ptCount val="9"/>
                <c:pt idx="0">
                  <c:v>385.66666666666663</c:v>
                </c:pt>
                <c:pt idx="1">
                  <c:v>60.666666666666671</c:v>
                </c:pt>
                <c:pt idx="2">
                  <c:v>67</c:v>
                </c:pt>
                <c:pt idx="3">
                  <c:v>197.66666666666666</c:v>
                </c:pt>
                <c:pt idx="4">
                  <c:v>47.333333333333329</c:v>
                </c:pt>
                <c:pt idx="5">
                  <c:v>57.333333333333329</c:v>
                </c:pt>
                <c:pt idx="6">
                  <c:v>65.333333333333314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90944"/>
        <c:axId val="151492480"/>
      </c:barChart>
      <c:catAx>
        <c:axId val="151490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1492480"/>
        <c:crosses val="autoZero"/>
        <c:auto val="1"/>
        <c:lblAlgn val="ctr"/>
        <c:lblOffset val="100"/>
        <c:noMultiLvlLbl val="0"/>
      </c:catAx>
      <c:valAx>
        <c:axId val="151492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149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Sheet3!$B$41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Sheet3!$C$37:$I$37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Sheet3!$C$41:$I$41</c:f>
              <c:numCache>
                <c:formatCode>#,##0</c:formatCode>
                <c:ptCount val="7"/>
                <c:pt idx="0">
                  <c:v>4777768</c:v>
                </c:pt>
                <c:pt idx="1">
                  <c:v>4777780</c:v>
                </c:pt>
                <c:pt idx="2">
                  <c:v>4777768</c:v>
                </c:pt>
                <c:pt idx="3">
                  <c:v>4777780</c:v>
                </c:pt>
                <c:pt idx="4">
                  <c:v>4777780</c:v>
                </c:pt>
                <c:pt idx="5">
                  <c:v>4777768</c:v>
                </c:pt>
                <c:pt idx="6">
                  <c:v>2372376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09632"/>
        <c:axId val="151589248"/>
      </c:barChart>
      <c:catAx>
        <c:axId val="151509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1589248"/>
        <c:crosses val="autoZero"/>
        <c:auto val="1"/>
        <c:lblAlgn val="ctr"/>
        <c:lblOffset val="100"/>
        <c:noMultiLvlLbl val="0"/>
      </c:catAx>
      <c:valAx>
        <c:axId val="15158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150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Sheet4!$C$37:$K$37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Sheet4!$C$38:$K$38</c:f>
              <c:numCache>
                <c:formatCode>#,##0.0</c:formatCode>
                <c:ptCount val="9"/>
                <c:pt idx="0">
                  <c:v>1025.6666666666667</c:v>
                </c:pt>
                <c:pt idx="1">
                  <c:v>441.33333333333337</c:v>
                </c:pt>
                <c:pt idx="2">
                  <c:v>448</c:v>
                </c:pt>
                <c:pt idx="3">
                  <c:v>499</c:v>
                </c:pt>
                <c:pt idx="4">
                  <c:v>208</c:v>
                </c:pt>
                <c:pt idx="5">
                  <c:v>213</c:v>
                </c:pt>
                <c:pt idx="6">
                  <c:v>365.66666666666669</c:v>
                </c:pt>
                <c:pt idx="7">
                  <c:v>131</c:v>
                </c:pt>
                <c:pt idx="8">
                  <c:v>73</c:v>
                </c:pt>
              </c:numCache>
            </c:numRef>
          </c:val>
        </c:ser>
        <c:ser>
          <c:idx val="1"/>
          <c:order val="1"/>
          <c:tx>
            <c:strRef>
              <c:f>Sheet4!$B$39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Sheet4!$C$37:$K$37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Sheet4!$C$39:$K$39</c:f>
              <c:numCache>
                <c:formatCode>#,##0.0</c:formatCode>
                <c:ptCount val="9"/>
                <c:pt idx="0">
                  <c:v>3317.333333333333</c:v>
                </c:pt>
                <c:pt idx="1">
                  <c:v>582.99999999999989</c:v>
                </c:pt>
                <c:pt idx="2">
                  <c:v>518</c:v>
                </c:pt>
                <c:pt idx="3">
                  <c:v>541</c:v>
                </c:pt>
                <c:pt idx="4">
                  <c:v>171.66666666666669</c:v>
                </c:pt>
                <c:pt idx="5">
                  <c:v>171.66666666666669</c:v>
                </c:pt>
                <c:pt idx="6">
                  <c:v>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72864"/>
        <c:axId val="152617728"/>
      </c:barChart>
      <c:catAx>
        <c:axId val="151972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2617728"/>
        <c:crosses val="autoZero"/>
        <c:auto val="1"/>
        <c:lblAlgn val="ctr"/>
        <c:lblOffset val="100"/>
        <c:noMultiLvlLbl val="0"/>
      </c:catAx>
      <c:valAx>
        <c:axId val="152617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197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Sheet4!$B$41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Sheet4!$C$37:$I$37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Sheet4!$C$41:$I$41</c:f>
              <c:numCache>
                <c:formatCode>#,##0</c:formatCode>
                <c:ptCount val="7"/>
                <c:pt idx="0">
                  <c:v>49777768</c:v>
                </c:pt>
                <c:pt idx="1">
                  <c:v>49777780</c:v>
                </c:pt>
                <c:pt idx="2">
                  <c:v>49777768</c:v>
                </c:pt>
                <c:pt idx="3">
                  <c:v>49777780</c:v>
                </c:pt>
                <c:pt idx="4">
                  <c:v>49777780</c:v>
                </c:pt>
                <c:pt idx="5">
                  <c:v>49777768</c:v>
                </c:pt>
                <c:pt idx="6">
                  <c:v>24872376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43680"/>
        <c:axId val="152345216"/>
      </c:barChart>
      <c:catAx>
        <c:axId val="152343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2345216"/>
        <c:crosses val="autoZero"/>
        <c:auto val="1"/>
        <c:lblAlgn val="ctr"/>
        <c:lblOffset val="100"/>
        <c:noMultiLvlLbl val="0"/>
      </c:catAx>
      <c:valAx>
        <c:axId val="152345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234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Sheet5!$C$37:$K$37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Sheet5!$C$38:$K$38</c:f>
              <c:numCache>
                <c:formatCode>#,##0.0</c:formatCode>
                <c:ptCount val="9"/>
                <c:pt idx="0">
                  <c:v>9545.3333333333339</c:v>
                </c:pt>
                <c:pt idx="1">
                  <c:v>4174.666666666667</c:v>
                </c:pt>
                <c:pt idx="2">
                  <c:v>4631.333333333333</c:v>
                </c:pt>
                <c:pt idx="3">
                  <c:v>3281.3333333333335</c:v>
                </c:pt>
                <c:pt idx="4">
                  <c:v>1627.6666666666667</c:v>
                </c:pt>
                <c:pt idx="5">
                  <c:v>1612</c:v>
                </c:pt>
                <c:pt idx="6">
                  <c:v>3253.666666666667</c:v>
                </c:pt>
                <c:pt idx="7">
                  <c:v>1407</c:v>
                </c:pt>
                <c:pt idx="8">
                  <c:v>426.66666666666669</c:v>
                </c:pt>
              </c:numCache>
            </c:numRef>
          </c:val>
        </c:ser>
        <c:ser>
          <c:idx val="1"/>
          <c:order val="1"/>
          <c:tx>
            <c:strRef>
              <c:f>Sheet5!$B$39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Sheet5!$C$37:$K$37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Sheet5!$C$39:$K$39</c:f>
              <c:numCache>
                <c:formatCode>#,##0.0</c:formatCode>
                <c:ptCount val="9"/>
                <c:pt idx="0">
                  <c:v>32012.666666666664</c:v>
                </c:pt>
                <c:pt idx="1">
                  <c:v>6514.9999999999991</c:v>
                </c:pt>
                <c:pt idx="2">
                  <c:v>5054.0000000000009</c:v>
                </c:pt>
                <c:pt idx="3">
                  <c:v>3421.6666666666665</c:v>
                </c:pt>
                <c:pt idx="4">
                  <c:v>1419.6666666666667</c:v>
                </c:pt>
                <c:pt idx="5">
                  <c:v>1466.3333333333335</c:v>
                </c:pt>
                <c:pt idx="6">
                  <c:v>6038.333333333333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53344"/>
        <c:axId val="152554880"/>
      </c:barChart>
      <c:catAx>
        <c:axId val="152553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2554880"/>
        <c:crosses val="autoZero"/>
        <c:auto val="1"/>
        <c:lblAlgn val="ctr"/>
        <c:lblOffset val="100"/>
        <c:noMultiLvlLbl val="0"/>
      </c:catAx>
      <c:valAx>
        <c:axId val="152554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5255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erialization" displayName="Serialization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8" name="Table18" displayName="Table18" ref="B37:K41" totalsRowShown="0">
  <autoFilter ref="B37:K41"/>
  <tableColumns count="10">
    <tableColumn id="1" name="Average"/>
    <tableColumn id="2" name="Newtonsoft.Json" dataDxfId="271">
      <calculatedColumnFormula>AverageNumbers[](Serialization[Newtonsoft (duration)])</calculatedColumnFormula>
    </tableColumn>
    <tableColumn id="3" name="Revenj.Net full" dataDxfId="270"/>
    <tableColumn id="4" name="Revenj.Net minimal" dataDxfId="269"/>
    <tableColumn id="8" name="Jackson" dataDxfId="268"/>
    <tableColumn id="7" name="DSL client Java full" dataDxfId="267"/>
    <tableColumn id="5" name="DSL client Java minimal" dataDxfId="266"/>
    <tableColumn id="6" name="Protobuf.NET" dataDxfId="265"/>
    <tableColumn id="9" name=".NET (instance only)" dataDxfId="264">
      <calculatedColumnFormula>AVERAGE(Both[.NET (instance only)])</calculatedColumnFormula>
    </tableColumn>
    <tableColumn id="10" name="JVM (instance only)" dataDxfId="263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Table17" displayName="Table17" ref="B45:I47" totalsRowShown="0">
  <autoFilter ref="B45:I47"/>
  <tableColumns count="8">
    <tableColumn id="1" name="Deviation"/>
    <tableColumn id="2" name="Newtonsoft.Json" dataDxfId="262">
      <calculatedColumnFormula>AverageNumbers[](Serialization[Newtonsoft (duration)])</calculatedColumnFormula>
    </tableColumn>
    <tableColumn id="3" name="Revenj.Net full" dataDxfId="261"/>
    <tableColumn id="4" name="Revenj.Net minimal" dataDxfId="260"/>
    <tableColumn id="5" name="Jackson" dataDxfId="259"/>
    <tableColumn id="6" name="DSL client Java full" dataDxfId="258"/>
    <tableColumn id="7" name="DSL client Java minimal" dataDxfId="257"/>
    <tableColumn id="8" name="Protobuf.NET" dataDxfId="25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Table16" displayName="Table16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9" name="Table19" displayName="Table19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2" name="Table22" displayName="Table22" ref="B37:K41" totalsRowShown="0">
  <autoFilter ref="B37:K41"/>
  <tableColumns count="10">
    <tableColumn id="1" name="Average"/>
    <tableColumn id="2" name="Newtonsoft.Json" dataDxfId="255">
      <calculatedColumnFormula>AverageNumbers[](Serialization[Newtonsoft (duration)])</calculatedColumnFormula>
    </tableColumn>
    <tableColumn id="3" name="Revenj.Net full" dataDxfId="254"/>
    <tableColumn id="4" name="Revenj.Net minimal" dataDxfId="253"/>
    <tableColumn id="8" name="Jackson" dataDxfId="252"/>
    <tableColumn id="7" name="DSL client Java full" dataDxfId="251"/>
    <tableColumn id="5" name="DSL client Java minimal" dataDxfId="250"/>
    <tableColumn id="6" name="Protobuf.NET" dataDxfId="249"/>
    <tableColumn id="9" name=".NET (instance only)" dataDxfId="248">
      <calculatedColumnFormula>AVERAGE(Both[.NET (instance only)])</calculatedColumnFormula>
    </tableColumn>
    <tableColumn id="10" name="JVM (instance only)" dataDxfId="24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1" name="Table21" displayName="Table21" ref="B45:I47" totalsRowShown="0">
  <autoFilter ref="B45:I47"/>
  <tableColumns count="8">
    <tableColumn id="1" name="Deviation"/>
    <tableColumn id="2" name="Newtonsoft.Json" dataDxfId="246">
      <calculatedColumnFormula>AverageNumbers[](Serialization[Newtonsoft (duration)])</calculatedColumnFormula>
    </tableColumn>
    <tableColumn id="3" name="Revenj.Net full" dataDxfId="245"/>
    <tableColumn id="4" name="Revenj.Net minimal" dataDxfId="244"/>
    <tableColumn id="5" name="Jackson" dataDxfId="243"/>
    <tableColumn id="6" name="DSL client Java full" dataDxfId="242"/>
    <tableColumn id="7" name="DSL client Java minimal" dataDxfId="241"/>
    <tableColumn id="8" name="Protobuf.NET" dataDxfId="24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Table20" displayName="Table20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3" name="Table23" displayName="Table23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6" name="Table26" displayName="Table26" ref="B37:K41" totalsRowShown="0">
  <autoFilter ref="B37:K41"/>
  <tableColumns count="10">
    <tableColumn id="1" name="Average"/>
    <tableColumn id="2" name="Newtonsoft.Json" dataDxfId="239">
      <calculatedColumnFormula>AverageNumbers[](Serialization[Newtonsoft (duration)])</calculatedColumnFormula>
    </tableColumn>
    <tableColumn id="3" name="Revenj.Net full" dataDxfId="238"/>
    <tableColumn id="4" name="Revenj.Net minimal" dataDxfId="237"/>
    <tableColumn id="8" name="Jackson" dataDxfId="236"/>
    <tableColumn id="7" name="DSL client Java full" dataDxfId="235"/>
    <tableColumn id="5" name="DSL client Java minimal" dataDxfId="234"/>
    <tableColumn id="6" name="Protobuf.NET" dataDxfId="233"/>
    <tableColumn id="9" name=".NET (instance only)" dataDxfId="232">
      <calculatedColumnFormula>AVERAGE(Both[.NET (instance only)])</calculatedColumnFormula>
    </tableColumn>
    <tableColumn id="10" name="JVM (instance only)" dataDxfId="231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5" name="Table25" displayName="Table25" ref="B45:I47" totalsRowShown="0">
  <autoFilter ref="B45:I47"/>
  <tableColumns count="8">
    <tableColumn id="1" name="Deviation"/>
    <tableColumn id="2" name="Newtonsoft.Json" dataDxfId="230">
      <calculatedColumnFormula>AverageNumbers[](Serialization[Newtonsoft (duration)])</calculatedColumnFormula>
    </tableColumn>
    <tableColumn id="3" name="Revenj.Net full" dataDxfId="229"/>
    <tableColumn id="4" name="Revenj.Net minimal" dataDxfId="228"/>
    <tableColumn id="5" name="Jackson" dataDxfId="227"/>
    <tableColumn id="6" name="DSL client Java full" dataDxfId="226"/>
    <tableColumn id="7" name="DSL client Java minimal" dataDxfId="225"/>
    <tableColumn id="8" name="Protobuf.NET" dataDxfId="2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verageNumbers" displayName="AverageNumbers" ref="B37:K41" totalsRowShown="0">
  <autoFilter ref="B37:K41"/>
  <tableColumns count="10">
    <tableColumn id="1" name="Average"/>
    <tableColumn id="2" name="Newtonsoft.Json" dataDxfId="303">
      <calculatedColumnFormula>AverageNumbers[](Serialization[Newtonsoft (duration)])</calculatedColumnFormula>
    </tableColumn>
    <tableColumn id="3" name="Revenj.Net full" dataDxfId="302"/>
    <tableColumn id="4" name="Revenj.Net minimal" dataDxfId="301"/>
    <tableColumn id="8" name="Jackson" dataDxfId="300"/>
    <tableColumn id="7" name="DSL client Java full" dataDxfId="299"/>
    <tableColumn id="5" name="DSL client Java minimal" dataDxfId="298"/>
    <tableColumn id="6" name="Protobuf.NET" dataDxfId="297"/>
    <tableColumn id="9" name=".NET (instance only)" dataDxfId="296">
      <calculatedColumnFormula>AVERAGE(Both[.NET (instance only)])</calculatedColumnFormula>
    </tableColumn>
    <tableColumn id="10" name="JVM (instance only)" dataDxfId="295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4" name="Table24" displayName="Table24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7" name="Table27" displayName="Table27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0" name="Table30" displayName="Table30" ref="B37:K41" totalsRowShown="0">
  <autoFilter ref="B37:K41"/>
  <tableColumns count="10">
    <tableColumn id="1" name="Average"/>
    <tableColumn id="2" name="Newtonsoft.Json" dataDxfId="223">
      <calculatedColumnFormula>AverageNumbers[](Serialization[Newtonsoft (duration)])</calculatedColumnFormula>
    </tableColumn>
    <tableColumn id="3" name="Revenj.Net full" dataDxfId="222"/>
    <tableColumn id="4" name="Revenj.Net minimal" dataDxfId="221"/>
    <tableColumn id="8" name="Jackson" dataDxfId="220"/>
    <tableColumn id="7" name="DSL client Java full" dataDxfId="219"/>
    <tableColumn id="5" name="DSL client Java minimal" dataDxfId="218"/>
    <tableColumn id="6" name="Protobuf.NET" dataDxfId="217"/>
    <tableColumn id="9" name=".NET (instance only)" dataDxfId="216">
      <calculatedColumnFormula>AVERAGE(Both[.NET (instance only)])</calculatedColumnFormula>
    </tableColumn>
    <tableColumn id="10" name="JVM (instance only)" dataDxfId="215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9" name="Table29" displayName="Table29" ref="B45:I47" totalsRowShown="0">
  <autoFilter ref="B45:I47"/>
  <tableColumns count="8">
    <tableColumn id="1" name="Deviation"/>
    <tableColumn id="2" name="Newtonsoft.Json" dataDxfId="214">
      <calculatedColumnFormula>AverageNumbers[](Serialization[Newtonsoft (duration)])</calculatedColumnFormula>
    </tableColumn>
    <tableColumn id="3" name="Revenj.Net full" dataDxfId="213"/>
    <tableColumn id="4" name="Revenj.Net minimal" dataDxfId="212"/>
    <tableColumn id="5" name="Jackson" dataDxfId="211"/>
    <tableColumn id="6" name="DSL client Java full" dataDxfId="210"/>
    <tableColumn id="7" name="DSL client Java minimal" dataDxfId="209"/>
    <tableColumn id="8" name="Protobuf.NET" dataDxfId="20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8" name="Table28" displayName="Table28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1" name="Table31" displayName="Table31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4" name="Table34" displayName="Table34" ref="B37:K41" totalsRowShown="0">
  <autoFilter ref="B37:K41"/>
  <tableColumns count="10">
    <tableColumn id="1" name="Average"/>
    <tableColumn id="2" name="Newtonsoft.Json" dataDxfId="207">
      <calculatedColumnFormula>AverageNumbers[](Serialization[Newtonsoft (duration)])</calculatedColumnFormula>
    </tableColumn>
    <tableColumn id="3" name="Revenj.Net full" dataDxfId="206"/>
    <tableColumn id="4" name="Revenj.Net minimal" dataDxfId="205"/>
    <tableColumn id="8" name="Jackson" dataDxfId="204"/>
    <tableColumn id="7" name="DSL client Java full" dataDxfId="203"/>
    <tableColumn id="5" name="DSL client Java minimal" dataDxfId="202"/>
    <tableColumn id="6" name="Protobuf.NET" dataDxfId="201"/>
    <tableColumn id="9" name=".NET (instance only)" dataDxfId="200">
      <calculatedColumnFormula>AVERAGE(Both[.NET (instance only)])</calculatedColumnFormula>
    </tableColumn>
    <tableColumn id="10" name="JVM (instance only)" dataDxfId="199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3" name="Table33" displayName="Table33" ref="B45:I47" totalsRowShown="0">
  <autoFilter ref="B45:I47"/>
  <tableColumns count="8">
    <tableColumn id="1" name="Deviation"/>
    <tableColumn id="2" name="Newtonsoft.Json" dataDxfId="198">
      <calculatedColumnFormula>AverageNumbers[](Serialization[Newtonsoft (duration)])</calculatedColumnFormula>
    </tableColumn>
    <tableColumn id="3" name="Revenj.Net full" dataDxfId="197"/>
    <tableColumn id="4" name="Revenj.Net minimal" dataDxfId="196"/>
    <tableColumn id="5" name="Jackson" dataDxfId="195"/>
    <tableColumn id="6" name="DSL client Java full" dataDxfId="194"/>
    <tableColumn id="7" name="DSL client Java minimal" dataDxfId="193"/>
    <tableColumn id="8" name="Protobuf.NET" dataDxfId="19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2" name="Table32" displayName="Table32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5" name="Table35" displayName="Table35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eviationNumbers" displayName="DeviationNumbers" ref="B45:I47" totalsRowShown="0">
  <autoFilter ref="B45:I47"/>
  <tableColumns count="8">
    <tableColumn id="1" name="Deviation"/>
    <tableColumn id="2" name="Newtonsoft.Json" dataDxfId="294">
      <calculatedColumnFormula>AverageNumbers[](Serialization[Newtonsoft (duration)])</calculatedColumnFormula>
    </tableColumn>
    <tableColumn id="3" name="Revenj.Net full" dataDxfId="293"/>
    <tableColumn id="4" name="Revenj.Net minimal" dataDxfId="292"/>
    <tableColumn id="5" name="Jackson" dataDxfId="291"/>
    <tableColumn id="6" name="DSL client Java full" dataDxfId="290"/>
    <tableColumn id="7" name="DSL client Java minimal" dataDxfId="289"/>
    <tableColumn id="8" name="Protobuf.NET" dataDxfId="28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8" name="Table38" displayName="Table38" ref="B37:K41" totalsRowShown="0">
  <autoFilter ref="B37:K41"/>
  <tableColumns count="10">
    <tableColumn id="1" name="Average"/>
    <tableColumn id="2" name="Newtonsoft.Json" dataDxfId="191">
      <calculatedColumnFormula>AverageNumbers[](Serialization[Newtonsoft (duration)])</calculatedColumnFormula>
    </tableColumn>
    <tableColumn id="3" name="Revenj.Net full" dataDxfId="190"/>
    <tableColumn id="4" name="Revenj.Net minimal" dataDxfId="189"/>
    <tableColumn id="8" name="Jackson" dataDxfId="188"/>
    <tableColumn id="7" name="DSL client Java full" dataDxfId="187"/>
    <tableColumn id="5" name="DSL client Java minimal" dataDxfId="186"/>
    <tableColumn id="6" name="Protobuf.NET" dataDxfId="185"/>
    <tableColumn id="9" name=".NET (instance only)" dataDxfId="184">
      <calculatedColumnFormula>AVERAGE(Both[.NET (instance only)])</calculatedColumnFormula>
    </tableColumn>
    <tableColumn id="10" name="JVM (instance only)" dataDxfId="183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7" name="Table37" displayName="Table37" ref="B45:I47" totalsRowShown="0">
  <autoFilter ref="B45:I47"/>
  <tableColumns count="8">
    <tableColumn id="1" name="Deviation"/>
    <tableColumn id="2" name="Newtonsoft.Json" dataDxfId="182">
      <calculatedColumnFormula>AverageNumbers[](Serialization[Newtonsoft (duration)])</calculatedColumnFormula>
    </tableColumn>
    <tableColumn id="3" name="Revenj.Net full" dataDxfId="181"/>
    <tableColumn id="4" name="Revenj.Net minimal" dataDxfId="180"/>
    <tableColumn id="5" name="Jackson" dataDxfId="179"/>
    <tableColumn id="6" name="DSL client Java full" dataDxfId="178"/>
    <tableColumn id="7" name="DSL client Java minimal" dataDxfId="177"/>
    <tableColumn id="8" name="Protobuf.NET" dataDxfId="176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6" name="Table36" displayName="Table36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9" name="Table39" displayName="Table39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42" name="Table42" displayName="Table42" ref="B37:K41" totalsRowShown="0">
  <autoFilter ref="B37:K41"/>
  <tableColumns count="10">
    <tableColumn id="1" name="Average"/>
    <tableColumn id="2" name="Newtonsoft.Json" dataDxfId="175">
      <calculatedColumnFormula>AverageNumbers[](Serialization[Newtonsoft (duration)])</calculatedColumnFormula>
    </tableColumn>
    <tableColumn id="3" name="Revenj.Net full" dataDxfId="174"/>
    <tableColumn id="4" name="Revenj.Net minimal" dataDxfId="173"/>
    <tableColumn id="8" name="Jackson" dataDxfId="172"/>
    <tableColumn id="7" name="DSL client Java full" dataDxfId="171"/>
    <tableColumn id="5" name="DSL client Java minimal" dataDxfId="170"/>
    <tableColumn id="6" name="Protobuf.NET" dataDxfId="169"/>
    <tableColumn id="9" name=".NET (instance only)" dataDxfId="168">
      <calculatedColumnFormula>AVERAGE(Both[.NET (instance only)])</calculatedColumnFormula>
    </tableColumn>
    <tableColumn id="10" name="JVM (instance only)" dataDxfId="16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41" name="Table41" displayName="Table41" ref="B45:I47" totalsRowShown="0">
  <autoFilter ref="B45:I47"/>
  <tableColumns count="8">
    <tableColumn id="1" name="Deviation"/>
    <tableColumn id="2" name="Newtonsoft.Json" dataDxfId="166">
      <calculatedColumnFormula>AverageNumbers[](Serialization[Newtonsoft (duration)])</calculatedColumnFormula>
    </tableColumn>
    <tableColumn id="3" name="Revenj.Net full" dataDxfId="165"/>
    <tableColumn id="4" name="Revenj.Net minimal" dataDxfId="164"/>
    <tableColumn id="5" name="Jackson" dataDxfId="163"/>
    <tableColumn id="6" name="DSL client Java full" dataDxfId="162"/>
    <tableColumn id="7" name="DSL client Java minimal" dataDxfId="161"/>
    <tableColumn id="8" name="Protobuf.NET" dataDxfId="160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40" name="Table40" displayName="Table40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43" name="Table43" displayName="Table43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6" name="Table46" displayName="Table46" ref="B37:K41" totalsRowShown="0">
  <autoFilter ref="B37:K41"/>
  <tableColumns count="10">
    <tableColumn id="1" name="Average"/>
    <tableColumn id="2" name="Newtonsoft.Json" dataDxfId="159">
      <calculatedColumnFormula>AverageNumbers[](Serialization[Newtonsoft (duration)])</calculatedColumnFormula>
    </tableColumn>
    <tableColumn id="3" name="Revenj.Net full" dataDxfId="158"/>
    <tableColumn id="4" name="Revenj.Net minimal" dataDxfId="157"/>
    <tableColumn id="8" name="Jackson" dataDxfId="156"/>
    <tableColumn id="7" name="DSL client Java full" dataDxfId="155"/>
    <tableColumn id="5" name="DSL client Java minimal" dataDxfId="154"/>
    <tableColumn id="6" name="Protobuf.NET" dataDxfId="153"/>
    <tableColumn id="9" name=".NET (instance only)" dataDxfId="152">
      <calculatedColumnFormula>AVERAGE(Both[.NET (instance only)])</calculatedColumnFormula>
    </tableColumn>
    <tableColumn id="10" name="JVM (instance only)" dataDxfId="151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5" name="Table45" displayName="Table45" ref="B45:I47" totalsRowShown="0">
  <autoFilter ref="B45:I47"/>
  <tableColumns count="8">
    <tableColumn id="1" name="Deviation"/>
    <tableColumn id="2" name="Newtonsoft.Json" dataDxfId="150">
      <calculatedColumnFormula>AverageNumbers[](Serialization[Newtonsoft (duration)])</calculatedColumnFormula>
    </tableColumn>
    <tableColumn id="3" name="Revenj.Net full" dataDxfId="149"/>
    <tableColumn id="4" name="Revenj.Net minimal" dataDxfId="148"/>
    <tableColumn id="5" name="Jackson" dataDxfId="147"/>
    <tableColumn id="6" name="DSL client Java full" dataDxfId="146"/>
    <tableColumn id="7" name="DSL client Java minimal" dataDxfId="145"/>
    <tableColumn id="8" name="Protobuf.NET" dataDxfId="1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Both" displayName="Both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4" name="Table44" displayName="Table44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47" name="Table47" displayName="Table47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50" name="Table50" displayName="Table50" ref="B37:K41" totalsRowShown="0">
  <autoFilter ref="B37:K41"/>
  <tableColumns count="10">
    <tableColumn id="1" name="Average"/>
    <tableColumn id="2" name="Newtonsoft.Json" dataDxfId="143">
      <calculatedColumnFormula>AverageNumbers[](Serialization[Newtonsoft (duration)])</calculatedColumnFormula>
    </tableColumn>
    <tableColumn id="3" name="Revenj.Net full" dataDxfId="142"/>
    <tableColumn id="4" name="Revenj.Net minimal" dataDxfId="141"/>
    <tableColumn id="8" name="Jackson" dataDxfId="140"/>
    <tableColumn id="7" name="DSL client Java full" dataDxfId="139"/>
    <tableColumn id="5" name="DSL client Java minimal" dataDxfId="138"/>
    <tableColumn id="6" name="Protobuf.NET" dataDxfId="137"/>
    <tableColumn id="9" name=".NET (instance only)" dataDxfId="136">
      <calculatedColumnFormula>AVERAGE(Both[.NET (instance only)])</calculatedColumnFormula>
    </tableColumn>
    <tableColumn id="10" name="JVM (instance only)" dataDxfId="135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49" name="Table49" displayName="Table49" ref="B45:I47" totalsRowShown="0">
  <autoFilter ref="B45:I47"/>
  <tableColumns count="8">
    <tableColumn id="1" name="Deviation"/>
    <tableColumn id="2" name="Newtonsoft.Json" dataDxfId="134">
      <calculatedColumnFormula>AverageNumbers[](Serialization[Newtonsoft (duration)])</calculatedColumnFormula>
    </tableColumn>
    <tableColumn id="3" name="Revenj.Net full" dataDxfId="133"/>
    <tableColumn id="4" name="Revenj.Net minimal" dataDxfId="132"/>
    <tableColumn id="5" name="Jackson" dataDxfId="131"/>
    <tableColumn id="6" name="DSL client Java full" dataDxfId="130"/>
    <tableColumn id="7" name="DSL client Java minimal" dataDxfId="129"/>
    <tableColumn id="8" name="Protobuf.NET" dataDxfId="128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48" name="Table48" displayName="Table48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51" name="Table51" displayName="Table51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54" name="Table54" displayName="Table54" ref="B37:K41" totalsRowShown="0">
  <autoFilter ref="B37:K41"/>
  <tableColumns count="10">
    <tableColumn id="1" name="Average"/>
    <tableColumn id="2" name="Newtonsoft.Json" dataDxfId="127">
      <calculatedColumnFormula>AverageNumbers[](Serialization[Newtonsoft (duration)])</calculatedColumnFormula>
    </tableColumn>
    <tableColumn id="3" name="Revenj.Net full" dataDxfId="126"/>
    <tableColumn id="4" name="Revenj.Net minimal" dataDxfId="125"/>
    <tableColumn id="8" name="Jackson" dataDxfId="124"/>
    <tableColumn id="7" name="DSL client Java full" dataDxfId="123"/>
    <tableColumn id="5" name="DSL client Java minimal" dataDxfId="122"/>
    <tableColumn id="6" name="Protobuf.NET" dataDxfId="121"/>
    <tableColumn id="9" name=".NET (instance only)" dataDxfId="120">
      <calculatedColumnFormula>AVERAGE(Both[.NET (instance only)])</calculatedColumnFormula>
    </tableColumn>
    <tableColumn id="10" name="JVM (instance only)" dataDxfId="119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53" name="Table53" displayName="Table53" ref="B45:I47" totalsRowShown="0">
  <autoFilter ref="B45:I47"/>
  <tableColumns count="8">
    <tableColumn id="1" name="Deviation"/>
    <tableColumn id="2" name="Newtonsoft.Json" dataDxfId="118">
      <calculatedColumnFormula>AverageNumbers[](Serialization[Newtonsoft (duration)])</calculatedColumnFormula>
    </tableColumn>
    <tableColumn id="3" name="Revenj.Net full" dataDxfId="117"/>
    <tableColumn id="4" name="Revenj.Net minimal" dataDxfId="116"/>
    <tableColumn id="5" name="Jackson" dataDxfId="115"/>
    <tableColumn id="6" name="DSL client Java full" dataDxfId="114"/>
    <tableColumn id="7" name="DSL client Java minimal" dataDxfId="113"/>
    <tableColumn id="8" name="Protobuf.NET" dataDxfId="112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2" name="Table52" displayName="Table52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55" name="Table55" displayName="Table55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58" name="Table58" displayName="Table58" ref="B37:K41" totalsRowShown="0">
  <autoFilter ref="B37:K41"/>
  <tableColumns count="10">
    <tableColumn id="1" name="Average"/>
    <tableColumn id="2" name="Newtonsoft.Json" dataDxfId="111">
      <calculatedColumnFormula>AverageNumbers[](Serialization[Newtonsoft (duration)])</calculatedColumnFormula>
    </tableColumn>
    <tableColumn id="3" name="Revenj.Net full" dataDxfId="110"/>
    <tableColumn id="4" name="Revenj.Net minimal" dataDxfId="109"/>
    <tableColumn id="8" name="Jackson" dataDxfId="108"/>
    <tableColumn id="7" name="DSL client Java full" dataDxfId="107"/>
    <tableColumn id="5" name="DSL client Java minimal" dataDxfId="106"/>
    <tableColumn id="6" name="Protobuf.NET" dataDxfId="105"/>
    <tableColumn id="9" name=".NET (instance only)" dataDxfId="104">
      <calculatedColumnFormula>AVERAGE(Both[.NET (instance only)])</calculatedColumnFormula>
    </tableColumn>
    <tableColumn id="10" name="JVM (instance only)" dataDxfId="103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57" name="Table57" displayName="Table57" ref="B45:I47" totalsRowShown="0">
  <autoFilter ref="B45:I47"/>
  <tableColumns count="8">
    <tableColumn id="1" name="Deviation"/>
    <tableColumn id="2" name="Newtonsoft.Json" dataDxfId="102">
      <calculatedColumnFormula>AverageNumbers[](Serialization[Newtonsoft (duration)])</calculatedColumnFormula>
    </tableColumn>
    <tableColumn id="3" name="Revenj.Net full" dataDxfId="101"/>
    <tableColumn id="4" name="Revenj.Net minimal" dataDxfId="100"/>
    <tableColumn id="5" name="Jackson" dataDxfId="99"/>
    <tableColumn id="6" name="DSL client Java full" dataDxfId="98"/>
    <tableColumn id="7" name="DSL client Java minimal" dataDxfId="97"/>
    <tableColumn id="8" name="Protobuf.NET" dataDxfId="96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56" name="Table56" displayName="Table56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59" name="Table59" displayName="Table59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62" name="Table62" displayName="Table62" ref="B37:K41" totalsRowShown="0">
  <autoFilter ref="B37:K41"/>
  <tableColumns count="10">
    <tableColumn id="1" name="Average"/>
    <tableColumn id="2" name="Newtonsoft.Json" dataDxfId="95">
      <calculatedColumnFormula>AverageNumbers[](Serialization[Newtonsoft (duration)])</calculatedColumnFormula>
    </tableColumn>
    <tableColumn id="3" name="Revenj.Net full" dataDxfId="94"/>
    <tableColumn id="4" name="Revenj.Net minimal" dataDxfId="93"/>
    <tableColumn id="8" name="Jackson" dataDxfId="92"/>
    <tableColumn id="7" name="DSL client Java full" dataDxfId="91"/>
    <tableColumn id="5" name="DSL client Java minimal" dataDxfId="90"/>
    <tableColumn id="6" name="Protobuf.NET" dataDxfId="89"/>
    <tableColumn id="9" name=".NET (instance only)" dataDxfId="88">
      <calculatedColumnFormula>AVERAGE(Both[.NET (instance only)])</calculatedColumnFormula>
    </tableColumn>
    <tableColumn id="10" name="JVM (instance only)" dataDxfId="8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61" name="Table61" displayName="Table61" ref="B45:I47" totalsRowShown="0">
  <autoFilter ref="B45:I47"/>
  <tableColumns count="8">
    <tableColumn id="1" name="Deviation"/>
    <tableColumn id="2" name="Newtonsoft.Json" dataDxfId="86">
      <calculatedColumnFormula>AverageNumbers[](Serialization[Newtonsoft (duration)])</calculatedColumnFormula>
    </tableColumn>
    <tableColumn id="3" name="Revenj.Net full" dataDxfId="85"/>
    <tableColumn id="4" name="Revenj.Net minimal" dataDxfId="84"/>
    <tableColumn id="5" name="Jackson" dataDxfId="83"/>
    <tableColumn id="6" name="DSL client Java full" dataDxfId="82"/>
    <tableColumn id="7" name="DSL client Java minimal" dataDxfId="81"/>
    <tableColumn id="8" name="Protobuf.NET" dataDxfId="80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60" name="Table60" displayName="Table60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63" name="Table63" displayName="Table63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66" name="Table66" displayName="Table66" ref="B37:K41" totalsRowShown="0">
  <autoFilter ref="B37:K41"/>
  <tableColumns count="10">
    <tableColumn id="1" name="Average"/>
    <tableColumn id="2" name="Newtonsoft.Json" dataDxfId="79">
      <calculatedColumnFormula>AverageNumbers[](Serialization[Newtonsoft (duration)])</calculatedColumnFormula>
    </tableColumn>
    <tableColumn id="3" name="Revenj.Net full" dataDxfId="78"/>
    <tableColumn id="4" name="Revenj.Net minimal" dataDxfId="77"/>
    <tableColumn id="8" name="Jackson" dataDxfId="76"/>
    <tableColumn id="7" name="DSL client Java full" dataDxfId="75"/>
    <tableColumn id="5" name="DSL client Java minimal" dataDxfId="74"/>
    <tableColumn id="6" name="Protobuf.NET" dataDxfId="73"/>
    <tableColumn id="9" name=".NET (instance only)" dataDxfId="72">
      <calculatedColumnFormula>AVERAGE(Both[.NET (instance only)])</calculatedColumnFormula>
    </tableColumn>
    <tableColumn id="10" name="JVM (instance only)" dataDxfId="71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65" name="Table65" displayName="Table65" ref="B45:I47" totalsRowShown="0">
  <autoFilter ref="B45:I47"/>
  <tableColumns count="8">
    <tableColumn id="1" name="Deviation"/>
    <tableColumn id="2" name="Newtonsoft.Json" dataDxfId="70">
      <calculatedColumnFormula>AverageNumbers[](Serialization[Newtonsoft (duration)])</calculatedColumnFormula>
    </tableColumn>
    <tableColumn id="3" name="Revenj.Net full" dataDxfId="69"/>
    <tableColumn id="4" name="Revenj.Net minimal" dataDxfId="68"/>
    <tableColumn id="5" name="Jackson" dataDxfId="67"/>
    <tableColumn id="6" name="DSL client Java full" dataDxfId="66"/>
    <tableColumn id="7" name="DSL client Java minimal" dataDxfId="65"/>
    <tableColumn id="8" name="Protobuf.NET" dataDxfId="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Table14" displayName="Table14" ref="B37:K41" totalsRowShown="0">
  <autoFilter ref="B37:K41"/>
  <tableColumns count="10">
    <tableColumn id="1" name="Average"/>
    <tableColumn id="2" name="Newtonsoft.Json" dataDxfId="287">
      <calculatedColumnFormula>AverageNumbers[](Serialization[Newtonsoft (duration)])</calculatedColumnFormula>
    </tableColumn>
    <tableColumn id="3" name="Revenj.Net full" dataDxfId="286"/>
    <tableColumn id="4" name="Revenj.Net minimal" dataDxfId="285"/>
    <tableColumn id="8" name="Jackson" dataDxfId="284"/>
    <tableColumn id="7" name="DSL client Java full" dataDxfId="283"/>
    <tableColumn id="5" name="DSL client Java minimal" dataDxfId="282"/>
    <tableColumn id="6" name="Protobuf.NET" dataDxfId="281"/>
    <tableColumn id="9" name=".NET (instance only)" dataDxfId="280">
      <calculatedColumnFormula>AVERAGE(Both[.NET (instance only)])</calculatedColumnFormula>
    </tableColumn>
    <tableColumn id="10" name="JVM (instance only)" dataDxfId="279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64" name="Table64" displayName="Table64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67" name="Table67" displayName="Table67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70" name="Table70" displayName="Table70" ref="B37:K41" totalsRowShown="0">
  <autoFilter ref="B37:K41"/>
  <tableColumns count="10">
    <tableColumn id="1" name="Average"/>
    <tableColumn id="2" name="Newtonsoft.Json" dataDxfId="63">
      <calculatedColumnFormula>AverageNumbers[](Serialization[Newtonsoft (duration)])</calculatedColumnFormula>
    </tableColumn>
    <tableColumn id="3" name="Revenj.Net full" dataDxfId="62"/>
    <tableColumn id="4" name="Revenj.Net minimal" dataDxfId="61"/>
    <tableColumn id="8" name="Jackson" dataDxfId="60"/>
    <tableColumn id="7" name="DSL client Java full" dataDxfId="59"/>
    <tableColumn id="5" name="DSL client Java minimal" dataDxfId="58"/>
    <tableColumn id="6" name="Protobuf.NET" dataDxfId="57"/>
    <tableColumn id="9" name=".NET (instance only)" dataDxfId="56">
      <calculatedColumnFormula>AVERAGE(Both[.NET (instance only)])</calculatedColumnFormula>
    </tableColumn>
    <tableColumn id="10" name="JVM (instance only)" dataDxfId="55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69" name="Table69" displayName="Table69" ref="B45:I47" totalsRowShown="0">
  <autoFilter ref="B45:I47"/>
  <tableColumns count="8">
    <tableColumn id="1" name="Deviation"/>
    <tableColumn id="2" name="Newtonsoft.Json" dataDxfId="54">
      <calculatedColumnFormula>AverageNumbers[](Serialization[Newtonsoft (duration)])</calculatedColumnFormula>
    </tableColumn>
    <tableColumn id="3" name="Revenj.Net full" dataDxfId="53"/>
    <tableColumn id="4" name="Revenj.Net minimal" dataDxfId="52"/>
    <tableColumn id="5" name="Jackson" dataDxfId="51"/>
    <tableColumn id="6" name="DSL client Java full" dataDxfId="50"/>
    <tableColumn id="7" name="DSL client Java minimal" dataDxfId="49"/>
    <tableColumn id="8" name="Protobuf.NET" dataDxfId="48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68" name="Table68" displayName="Table68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71" name="Table71" displayName="Table71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74" name="Table74" displayName="Table74" ref="B37:K41" totalsRowShown="0">
  <autoFilter ref="B37:K41"/>
  <tableColumns count="10">
    <tableColumn id="1" name="Average"/>
    <tableColumn id="2" name="Newtonsoft.Json" dataDxfId="47">
      <calculatedColumnFormula>AverageNumbers[](Serialization[Newtonsoft (duration)])</calculatedColumnFormula>
    </tableColumn>
    <tableColumn id="3" name="Revenj.Net full" dataDxfId="46"/>
    <tableColumn id="4" name="Revenj.Net minimal" dataDxfId="45"/>
    <tableColumn id="8" name="Jackson" dataDxfId="44"/>
    <tableColumn id="7" name="DSL client Java full" dataDxfId="43"/>
    <tableColumn id="5" name="DSL client Java minimal" dataDxfId="42"/>
    <tableColumn id="6" name="Protobuf.NET" dataDxfId="41"/>
    <tableColumn id="9" name=".NET (instance only)" dataDxfId="40">
      <calculatedColumnFormula>AVERAGE(Both[.NET (instance only)])</calculatedColumnFormula>
    </tableColumn>
    <tableColumn id="10" name="JVM (instance only)" dataDxfId="39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73" name="Table73" displayName="Table73" ref="B45:I47" totalsRowShown="0">
  <autoFilter ref="B45:I47"/>
  <tableColumns count="8">
    <tableColumn id="1" name="Deviation"/>
    <tableColumn id="2" name="Newtonsoft.Json" dataDxfId="38">
      <calculatedColumnFormula>AverageNumbers[](Serialization[Newtonsoft (duration)])</calculatedColumnFormula>
    </tableColumn>
    <tableColumn id="3" name="Revenj.Net full" dataDxfId="37"/>
    <tableColumn id="4" name="Revenj.Net minimal" dataDxfId="36"/>
    <tableColumn id="5" name="Jackson" dataDxfId="35"/>
    <tableColumn id="6" name="DSL client Java full" dataDxfId="34"/>
    <tableColumn id="7" name="DSL client Java minimal" dataDxfId="33"/>
    <tableColumn id="8" name="Protobuf.NET" dataDxfId="32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72" name="Table72" displayName="Table72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75" name="Table75" displayName="Table75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3" name="Table13" displayName="Table13" ref="B45:I47" totalsRowShown="0">
  <autoFilter ref="B45:I47"/>
  <tableColumns count="8">
    <tableColumn id="1" name="Deviation"/>
    <tableColumn id="2" name="Newtonsoft.Json" dataDxfId="278">
      <calculatedColumnFormula>AverageNumbers[](Serialization[Newtonsoft (duration)])</calculatedColumnFormula>
    </tableColumn>
    <tableColumn id="3" name="Revenj.Net full" dataDxfId="277"/>
    <tableColumn id="4" name="Revenj.Net minimal" dataDxfId="276"/>
    <tableColumn id="5" name="Jackson" dataDxfId="275"/>
    <tableColumn id="6" name="DSL client Java full" dataDxfId="274"/>
    <tableColumn id="7" name="DSL client Java minimal" dataDxfId="273"/>
    <tableColumn id="8" name="Protobuf.NET" dataDxfId="272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78" name="Table78" displayName="Table78" ref="B37:K41" totalsRowShown="0">
  <autoFilter ref="B37:K41"/>
  <tableColumns count="10">
    <tableColumn id="1" name="Average"/>
    <tableColumn id="2" name="Newtonsoft.Json" dataDxfId="31">
      <calculatedColumnFormula>AverageNumbers[](Serialization[Newtonsoft (duration)])</calculatedColumnFormula>
    </tableColumn>
    <tableColumn id="3" name="Revenj.Net full" dataDxfId="30"/>
    <tableColumn id="4" name="Revenj.Net minimal" dataDxfId="29"/>
    <tableColumn id="8" name="Jackson" dataDxfId="28"/>
    <tableColumn id="7" name="DSL client Java full" dataDxfId="27"/>
    <tableColumn id="5" name="DSL client Java minimal" dataDxfId="26"/>
    <tableColumn id="6" name="Protobuf.NET" dataDxfId="25"/>
    <tableColumn id="9" name=".NET (instance only)" dataDxfId="24">
      <calculatedColumnFormula>AVERAGE(Both[.NET (instance only)])</calculatedColumnFormula>
    </tableColumn>
    <tableColumn id="10" name="JVM (instance only)" dataDxfId="23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77" name="Table77" displayName="Table77" ref="B45:I47" totalsRowShown="0">
  <autoFilter ref="B45:I47"/>
  <tableColumns count="8">
    <tableColumn id="1" name="Deviation"/>
    <tableColumn id="2" name="Newtonsoft.Json" dataDxfId="22">
      <calculatedColumnFormula>AverageNumbers[](Serialization[Newtonsoft (duration)])</calculatedColumnFormula>
    </tableColumn>
    <tableColumn id="3" name="Revenj.Net full" dataDxfId="21"/>
    <tableColumn id="4" name="Revenj.Net minimal" dataDxfId="20"/>
    <tableColumn id="5" name="Jackson" dataDxfId="19"/>
    <tableColumn id="6" name="DSL client Java full" dataDxfId="18"/>
    <tableColumn id="7" name="DSL client Java minimal" dataDxfId="17"/>
    <tableColumn id="8" name="Protobuf.NET" dataDxfId="16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6" name="Table76" displayName="Table76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9" name="Table79" displayName="Table79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82" name="Table82" displayName="Table82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Revenj.Net full" dataDxfId="14"/>
    <tableColumn id="4" name="Revenj.Net minimal" dataDxfId="13"/>
    <tableColumn id="8" name="Jackson" dataDxfId="12"/>
    <tableColumn id="7" name="DSL client Java full" dataDxfId="11"/>
    <tableColumn id="5" name="DSL client Java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81" name="Table81" displayName="Table81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Revenj.Net full" dataDxfId="5"/>
    <tableColumn id="4" name="Revenj.Net minimal" dataDxfId="4"/>
    <tableColumn id="5" name="Jackson" dataDxfId="3"/>
    <tableColumn id="6" name="DSL client Java full" dataDxfId="2"/>
    <tableColumn id="7" name="DSL client Java minimal" dataDxfId="1"/>
    <tableColumn id="8" name="Protobuf.NET" dataDxfId="0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80" name="Table80" displayName="Table80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5" displayName="Table15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40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48.xml"/><Relationship Id="rId5" Type="http://schemas.openxmlformats.org/officeDocument/2006/relationships/table" Target="../tables/table47.xml"/><Relationship Id="rId4" Type="http://schemas.openxmlformats.org/officeDocument/2006/relationships/table" Target="../tables/table4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52.xml"/><Relationship Id="rId5" Type="http://schemas.openxmlformats.org/officeDocument/2006/relationships/table" Target="../tables/table51.xml"/><Relationship Id="rId4" Type="http://schemas.openxmlformats.org/officeDocument/2006/relationships/table" Target="../tables/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60.xml"/><Relationship Id="rId5" Type="http://schemas.openxmlformats.org/officeDocument/2006/relationships/table" Target="../tables/table59.xml"/><Relationship Id="rId4" Type="http://schemas.openxmlformats.org/officeDocument/2006/relationships/table" Target="../tables/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64.xml"/><Relationship Id="rId5" Type="http://schemas.openxmlformats.org/officeDocument/2006/relationships/table" Target="../tables/table63.xml"/><Relationship Id="rId4" Type="http://schemas.openxmlformats.org/officeDocument/2006/relationships/table" Target="../tables/table6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5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4" Type="http://schemas.openxmlformats.org/officeDocument/2006/relationships/table" Target="../tables/table6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9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72.xml"/><Relationship Id="rId5" Type="http://schemas.openxmlformats.org/officeDocument/2006/relationships/table" Target="../tables/table71.xml"/><Relationship Id="rId4" Type="http://schemas.openxmlformats.org/officeDocument/2006/relationships/table" Target="../tables/table7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3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table" Target="../tables/table76.xml"/><Relationship Id="rId5" Type="http://schemas.openxmlformats.org/officeDocument/2006/relationships/table" Target="../tables/table75.xml"/><Relationship Id="rId4" Type="http://schemas.openxmlformats.org/officeDocument/2006/relationships/table" Target="../tables/table7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39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AVERAGE(Table39[Newtonsoft (duration)]) - J38</f>
        <v>259.66666666666663</v>
      </c>
      <c r="D38" s="2">
        <f>AVERAGE(Table39[Revenj.NET full (duration)]) - J38</f>
        <v>104.33333333333333</v>
      </c>
      <c r="E38" s="2">
        <f>AVERAGE(Table39[Revenj.NET minimal (duration)]) - J38</f>
        <v>100.33333333333333</v>
      </c>
      <c r="F38" s="2">
        <f>AVERAGE(Table39[Jackson (duration)]) - J39</f>
        <v>369.33333333333331</v>
      </c>
      <c r="G38" s="2">
        <f>AVERAGE(Table39[DSL client Java full (duration)]) - J39</f>
        <v>229</v>
      </c>
      <c r="H38" s="2">
        <f>AVERAGE(Table39[DSL client Java minimal (duration)]) - J39</f>
        <v>260.33333333333331</v>
      </c>
      <c r="I38" s="2">
        <f>AVERAGE(Table39[Protobuf.NET (duration)]) - J38</f>
        <v>83.999999999999986</v>
      </c>
      <c r="J38" s="2">
        <f>AVERAGE(Table40[.NET (instance only)])</f>
        <v>115.66666666666667</v>
      </c>
      <c r="K38" s="2">
        <f>AVERAGE(Table40[JVM (instance only)])</f>
        <v>161.33333333333334</v>
      </c>
    </row>
    <row r="39" spans="2:11" x14ac:dyDescent="0.25">
      <c r="B39" t="s">
        <v>3</v>
      </c>
      <c r="C39" s="2">
        <f>C40-C38</f>
        <v>850.99999999999989</v>
      </c>
      <c r="D39" s="2">
        <f t="shared" ref="D39:I39" si="0">D40-D38</f>
        <v>129</v>
      </c>
      <c r="E39" s="2">
        <f t="shared" si="0"/>
        <v>125.66666666666667</v>
      </c>
      <c r="F39" s="2">
        <f t="shared" ref="F39:H39" si="1">F40-F38</f>
        <v>530</v>
      </c>
      <c r="G39" s="2">
        <f t="shared" si="1"/>
        <v>72.666666666666686</v>
      </c>
      <c r="H39" s="2">
        <f t="shared" si="1"/>
        <v>25.666666666666686</v>
      </c>
      <c r="I39" s="2">
        <f t="shared" si="0"/>
        <v>265.66666666666663</v>
      </c>
      <c r="J39" s="2"/>
      <c r="K39" s="2"/>
    </row>
    <row r="40" spans="2:11" x14ac:dyDescent="0.25">
      <c r="B40" t="s">
        <v>1</v>
      </c>
      <c r="C40" s="2">
        <f>AVERAGE(Table40[Newtonsoft (duration)]) - J38</f>
        <v>1110.6666666666665</v>
      </c>
      <c r="D40" s="2">
        <f>AVERAGE(Table40[Revenj.NET full (duration)]) - J38</f>
        <v>233.33333333333331</v>
      </c>
      <c r="E40" s="2">
        <f>AVERAGE(Table40[Revenj.NET minimal (duration)]) - J38</f>
        <v>226</v>
      </c>
      <c r="F40" s="2">
        <f>AVERAGE(Table40[Jackson (duration)]) - J39</f>
        <v>899.33333333333337</v>
      </c>
      <c r="G40" s="2">
        <f>AVERAGE(Table40[DSL client Java full (duration)]) - J39</f>
        <v>301.66666666666669</v>
      </c>
      <c r="H40" s="2">
        <f>AVERAGE(Table40[DSL client Java minimal (duration)]) - J39</f>
        <v>286</v>
      </c>
      <c r="I40" s="2">
        <f>AVERAGE(Table40[Protobuf.NET (duration)]) - J38</f>
        <v>349.66666666666663</v>
      </c>
      <c r="J40" s="2"/>
      <c r="K40" s="2"/>
    </row>
    <row r="41" spans="2:11" x14ac:dyDescent="0.25">
      <c r="B41" t="s">
        <v>8</v>
      </c>
      <c r="C41" s="3">
        <f>AVERAGE(Table39[Newtonsoft (size)])</f>
        <v>12872468</v>
      </c>
      <c r="D41" s="3">
        <f>AVERAGE(Table39[Revenj.NET full (size)])</f>
        <v>12622475</v>
      </c>
      <c r="E41" s="3">
        <f>AVERAGE(Table39[Revenj.NET minimal (size)])</f>
        <v>11872475</v>
      </c>
      <c r="F41" s="3">
        <f>AVERAGE(Table39[Jackson (size)])</f>
        <v>12787102</v>
      </c>
      <c r="G41" s="3">
        <f>AVERAGE(Table39[DSL client Java full (size)])</f>
        <v>12787087</v>
      </c>
      <c r="H41" s="3">
        <f>AVERAGE(Table39[DSL client Java minimal (size)])</f>
        <v>12037087</v>
      </c>
      <c r="I41" s="3">
        <f>AVERAGE(Table39[Protobuf.NET (size)])</f>
        <v>5472477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DEVSQ(Table39[Newtonsoft (duration)])</f>
        <v>10.666666666666666</v>
      </c>
      <c r="D46" s="2">
        <f>DEVSQ(Table39[Revenj.NET full (duration)])</f>
        <v>56</v>
      </c>
      <c r="E46" s="2">
        <f>DEVSQ(Table39[Revenj.NET minimal (duration)])</f>
        <v>2</v>
      </c>
      <c r="F46" s="2">
        <f>DEVSQ(Table39[Jackson (duration)])</f>
        <v>160.66666666666669</v>
      </c>
      <c r="G46" s="2">
        <f>DEVSQ(Table39[DSL client Java full (duration)])</f>
        <v>1142</v>
      </c>
      <c r="H46" s="2">
        <f>DEVSQ(Table39[DSL client Java minimal (duration)])</f>
        <v>160.66666666666669</v>
      </c>
      <c r="I46" s="2">
        <f>DEVSQ(Table39[Protobuf.NET (duration)])</f>
        <v>10.666666666666668</v>
      </c>
    </row>
    <row r="47" spans="2:11" x14ac:dyDescent="0.25">
      <c r="B47" t="s">
        <v>1</v>
      </c>
      <c r="C47" s="2">
        <f>DEVSQ(Table40[Newtonsoft (duration)])</f>
        <v>2314.666666666667</v>
      </c>
      <c r="D47" s="2">
        <f>DEVSQ(Table40[Revenj.NET full (duration)])</f>
        <v>62</v>
      </c>
      <c r="E47" s="2">
        <f>DEVSQ(Table40[Revenj.NET minimal (duration)])</f>
        <v>28.666666666666671</v>
      </c>
      <c r="F47" s="2">
        <f>DEVSQ(Table40[Jackson (duration)])</f>
        <v>6082.6666666666661</v>
      </c>
      <c r="G47" s="2">
        <f>DEVSQ(Table40[DSL client Java full (duration)])</f>
        <v>160.66666666666669</v>
      </c>
      <c r="H47" s="2">
        <f>DEVSQ(Table40[DSL client Java minimal (duration)])</f>
        <v>150</v>
      </c>
      <c r="I47" s="2">
        <f>DEVSQ(Table40[Protobuf.NET (duration)])</f>
        <v>970.66666666666663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374</v>
      </c>
      <c r="C52">
        <v>12872468</v>
      </c>
      <c r="D52">
        <v>218</v>
      </c>
      <c r="E52">
        <v>12622475</v>
      </c>
      <c r="F52">
        <v>217</v>
      </c>
      <c r="G52">
        <v>11872475</v>
      </c>
      <c r="H52">
        <v>374</v>
      </c>
      <c r="I52">
        <v>12787102</v>
      </c>
      <c r="J52">
        <v>234</v>
      </c>
      <c r="K52">
        <v>12787087</v>
      </c>
      <c r="L52">
        <v>265</v>
      </c>
      <c r="M52">
        <v>12037087</v>
      </c>
      <c r="N52">
        <v>201</v>
      </c>
      <c r="O52">
        <v>5472477</v>
      </c>
    </row>
    <row r="53" spans="2:15" x14ac:dyDescent="0.25">
      <c r="B53">
        <v>378</v>
      </c>
      <c r="C53">
        <v>12872468</v>
      </c>
      <c r="D53">
        <v>226</v>
      </c>
      <c r="E53">
        <v>12622475</v>
      </c>
      <c r="F53">
        <v>216</v>
      </c>
      <c r="G53">
        <v>11872475</v>
      </c>
      <c r="H53">
        <v>359</v>
      </c>
      <c r="I53">
        <v>12787102</v>
      </c>
      <c r="J53">
        <v>250</v>
      </c>
      <c r="K53">
        <v>12787087</v>
      </c>
      <c r="L53">
        <v>250</v>
      </c>
      <c r="M53">
        <v>12037087</v>
      </c>
      <c r="N53">
        <v>201</v>
      </c>
      <c r="O53">
        <v>5472477</v>
      </c>
    </row>
    <row r="54" spans="2:15" x14ac:dyDescent="0.25">
      <c r="B54">
        <v>374</v>
      </c>
      <c r="C54">
        <v>12872468</v>
      </c>
      <c r="D54">
        <v>216</v>
      </c>
      <c r="E54">
        <v>12622475</v>
      </c>
      <c r="F54">
        <v>215</v>
      </c>
      <c r="G54">
        <v>11872475</v>
      </c>
      <c r="H54">
        <v>375</v>
      </c>
      <c r="I54">
        <v>12787102</v>
      </c>
      <c r="J54">
        <v>203</v>
      </c>
      <c r="K54">
        <v>12787087</v>
      </c>
      <c r="L54">
        <v>266</v>
      </c>
      <c r="M54">
        <v>12037087</v>
      </c>
      <c r="N54">
        <v>197</v>
      </c>
      <c r="O54">
        <v>5472477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1193</v>
      </c>
      <c r="C58">
        <v>343</v>
      </c>
      <c r="D58">
        <v>346</v>
      </c>
      <c r="E58">
        <v>842</v>
      </c>
      <c r="F58">
        <v>312</v>
      </c>
      <c r="G58">
        <v>281</v>
      </c>
      <c r="H58">
        <v>444</v>
      </c>
      <c r="I58">
        <v>115</v>
      </c>
      <c r="J58">
        <v>156</v>
      </c>
    </row>
    <row r="59" spans="2:15" x14ac:dyDescent="0.25">
      <c r="B59">
        <v>1225</v>
      </c>
      <c r="C59">
        <v>354</v>
      </c>
      <c r="D59">
        <v>340</v>
      </c>
      <c r="E59">
        <v>952</v>
      </c>
      <c r="F59">
        <v>297</v>
      </c>
      <c r="G59">
        <v>296</v>
      </c>
      <c r="H59">
        <v>488</v>
      </c>
      <c r="I59">
        <v>116</v>
      </c>
      <c r="J59">
        <v>156</v>
      </c>
    </row>
    <row r="60" spans="2:15" x14ac:dyDescent="0.25">
      <c r="B60">
        <v>1261</v>
      </c>
      <c r="C60">
        <v>350</v>
      </c>
      <c r="D60">
        <v>339</v>
      </c>
      <c r="E60">
        <v>904</v>
      </c>
      <c r="F60">
        <v>296</v>
      </c>
      <c r="G60">
        <v>281</v>
      </c>
      <c r="H60">
        <v>464</v>
      </c>
      <c r="I60">
        <v>116</v>
      </c>
      <c r="J60">
        <v>172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40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AVERAGE(Table43[Newtonsoft (duration)]) - J38</f>
        <v>2660.3333333333335</v>
      </c>
      <c r="D38" s="2">
        <f>AVERAGE(Table43[Revenj.NET full (duration)]) - J38</f>
        <v>1008</v>
      </c>
      <c r="E38" s="2">
        <f>AVERAGE(Table43[Revenj.NET minimal (duration)]) - J38</f>
        <v>1027.6666666666665</v>
      </c>
      <c r="F38" s="2">
        <f>AVERAGE(Table43[Jackson (duration)]) - J39</f>
        <v>1784</v>
      </c>
      <c r="G38" s="2">
        <f>AVERAGE(Table43[DSL client Java full (duration)]) - J39</f>
        <v>936.33333333333337</v>
      </c>
      <c r="H38" s="2">
        <f>AVERAGE(Table43[DSL client Java minimal (duration)]) - J39</f>
        <v>956.66666666666663</v>
      </c>
      <c r="I38" s="2">
        <f>AVERAGE(Table43[Protobuf.NET (duration)]) - J38</f>
        <v>846.66666666666674</v>
      </c>
      <c r="J38" s="2">
        <f>AVERAGE(Table44[.NET (instance only)])</f>
        <v>1147</v>
      </c>
      <c r="K38" s="2">
        <f>AVERAGE(Table44[JVM (instance only)])</f>
        <v>670.66666666666663</v>
      </c>
    </row>
    <row r="39" spans="2:11" x14ac:dyDescent="0.25">
      <c r="B39" t="s">
        <v>3</v>
      </c>
      <c r="C39" s="2">
        <f>C40-C38</f>
        <v>8144</v>
      </c>
      <c r="D39" s="2">
        <f t="shared" ref="D39:I39" si="0">D40-D38</f>
        <v>1235</v>
      </c>
      <c r="E39" s="2">
        <f t="shared" si="0"/>
        <v>1157.666666666667</v>
      </c>
      <c r="F39" s="2">
        <f t="shared" ref="F39:H39" si="1">F40-F38</f>
        <v>3613.666666666667</v>
      </c>
      <c r="G39" s="2">
        <f t="shared" si="1"/>
        <v>425.99999999999989</v>
      </c>
      <c r="H39" s="2">
        <f t="shared" si="1"/>
        <v>390.00000000000011</v>
      </c>
      <c r="I39" s="2">
        <f t="shared" si="0"/>
        <v>2530</v>
      </c>
      <c r="J39" s="2"/>
      <c r="K39" s="2"/>
    </row>
    <row r="40" spans="2:11" x14ac:dyDescent="0.25">
      <c r="B40" t="s">
        <v>1</v>
      </c>
      <c r="C40" s="2">
        <f>AVERAGE(Table44[Newtonsoft (duration)]) - J38</f>
        <v>10804.333333333334</v>
      </c>
      <c r="D40" s="2">
        <f>AVERAGE(Table44[Revenj.NET full (duration)]) - J38</f>
        <v>2243</v>
      </c>
      <c r="E40" s="2">
        <f>AVERAGE(Table44[Revenj.NET minimal (duration)]) - J38</f>
        <v>2185.3333333333335</v>
      </c>
      <c r="F40" s="2">
        <f>AVERAGE(Table44[Jackson (duration)]) - J39</f>
        <v>5397.666666666667</v>
      </c>
      <c r="G40" s="2">
        <f>AVERAGE(Table44[DSL client Java full (duration)]) - J39</f>
        <v>1362.3333333333333</v>
      </c>
      <c r="H40" s="2">
        <f>AVERAGE(Table44[DSL client Java minimal (duration)]) - J39</f>
        <v>1346.6666666666667</v>
      </c>
      <c r="I40" s="2">
        <f>AVERAGE(Table44[Protobuf.NET (duration)]) - J38</f>
        <v>3376.666666666667</v>
      </c>
      <c r="J40" s="2"/>
      <c r="K40" s="2"/>
    </row>
    <row r="41" spans="2:11" x14ac:dyDescent="0.25">
      <c r="B41" t="s">
        <v>8</v>
      </c>
      <c r="C41" s="3">
        <f>AVERAGE(Table43[Newtonsoft (size)])</f>
        <v>129722895</v>
      </c>
      <c r="D41" s="3">
        <f>AVERAGE(Table43[Revenj.NET full (size)])</f>
        <v>127222890</v>
      </c>
      <c r="E41" s="3">
        <f>AVERAGE(Table43[Revenj.NET minimal (size)])</f>
        <v>119722890</v>
      </c>
      <c r="F41" s="3">
        <f>AVERAGE(Table43[Jackson (size)])</f>
        <v>128871260</v>
      </c>
      <c r="G41" s="3">
        <f>AVERAGE(Table43[DSL client Java full (size)])</f>
        <v>128871259</v>
      </c>
      <c r="H41" s="3">
        <f>AVERAGE(Table43[DSL client Java minimal (size)])</f>
        <v>121371259</v>
      </c>
      <c r="I41" s="3">
        <f>AVERAGE(Table43[Protobuf.NET (size)])</f>
        <v>55722893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DEVSQ(Table43[Newtonsoft (duration)])</f>
        <v>28388.666666666664</v>
      </c>
      <c r="D46" s="2">
        <f>DEVSQ(Table43[Revenj.NET full (duration)])</f>
        <v>182</v>
      </c>
      <c r="E46" s="2">
        <f>DEVSQ(Table43[Revenj.NET minimal (duration)])</f>
        <v>3220.666666666667</v>
      </c>
      <c r="F46" s="2">
        <f>DEVSQ(Table43[Jackson (duration)])</f>
        <v>35150</v>
      </c>
      <c r="G46" s="2">
        <f>DEVSQ(Table43[DSL client Java full (duration)])</f>
        <v>480.66666666666669</v>
      </c>
      <c r="H46" s="2">
        <f>DEVSQ(Table43[DSL client Java minimal (duration)])</f>
        <v>2562.6666666666665</v>
      </c>
      <c r="I46" s="2">
        <f>DEVSQ(Table43[Protobuf.NET (duration)])</f>
        <v>640.66666666666674</v>
      </c>
    </row>
    <row r="47" spans="2:11" x14ac:dyDescent="0.25">
      <c r="B47" t="s">
        <v>1</v>
      </c>
      <c r="C47" s="2">
        <f>DEVSQ(Table44[Newtonsoft (duration)])</f>
        <v>153368.66666666666</v>
      </c>
      <c r="D47" s="2">
        <f>DEVSQ(Table44[Revenj.NET full (duration)])</f>
        <v>744</v>
      </c>
      <c r="E47" s="2">
        <f>DEVSQ(Table44[Revenj.NET minimal (duration)])</f>
        <v>242.66666666666666</v>
      </c>
      <c r="F47" s="2">
        <f>DEVSQ(Table44[Jackson (duration)])</f>
        <v>62144.666666666672</v>
      </c>
      <c r="G47" s="2">
        <f>DEVSQ(Table44[DSL client Java full (duration)])</f>
        <v>2604.666666666667</v>
      </c>
      <c r="H47" s="2">
        <f>DEVSQ(Table44[DSL client Java minimal (duration)])</f>
        <v>1090.6666666666667</v>
      </c>
      <c r="I47" s="2">
        <f>DEVSQ(Table44[Protobuf.NET (duration)])</f>
        <v>192660.66666666669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3685</v>
      </c>
      <c r="C52">
        <v>129722895</v>
      </c>
      <c r="D52">
        <v>2146</v>
      </c>
      <c r="E52">
        <v>127222890</v>
      </c>
      <c r="F52">
        <v>2221</v>
      </c>
      <c r="G52">
        <v>119722890</v>
      </c>
      <c r="H52">
        <v>1779</v>
      </c>
      <c r="I52">
        <v>128871260</v>
      </c>
      <c r="J52">
        <v>921</v>
      </c>
      <c r="K52">
        <v>128871259</v>
      </c>
      <c r="L52">
        <v>936</v>
      </c>
      <c r="M52">
        <v>121371259</v>
      </c>
      <c r="N52">
        <v>1974</v>
      </c>
      <c r="O52">
        <v>55722893</v>
      </c>
    </row>
    <row r="53" spans="2:15" x14ac:dyDescent="0.25">
      <c r="B53">
        <v>3814</v>
      </c>
      <c r="C53">
        <v>129722895</v>
      </c>
      <c r="D53">
        <v>2154</v>
      </c>
      <c r="E53">
        <v>127222890</v>
      </c>
      <c r="F53">
        <v>2152</v>
      </c>
      <c r="G53">
        <v>119722890</v>
      </c>
      <c r="H53">
        <v>1919</v>
      </c>
      <c r="I53">
        <v>128871260</v>
      </c>
      <c r="J53">
        <v>952</v>
      </c>
      <c r="K53">
        <v>128871259</v>
      </c>
      <c r="L53">
        <v>936</v>
      </c>
      <c r="M53">
        <v>121371259</v>
      </c>
      <c r="N53">
        <v>2009</v>
      </c>
      <c r="O53">
        <v>55722893</v>
      </c>
    </row>
    <row r="54" spans="2:15" x14ac:dyDescent="0.25">
      <c r="B54">
        <v>3923</v>
      </c>
      <c r="C54">
        <v>129722895</v>
      </c>
      <c r="D54">
        <v>2165</v>
      </c>
      <c r="E54">
        <v>127222890</v>
      </c>
      <c r="F54">
        <v>2151</v>
      </c>
      <c r="G54">
        <v>119722890</v>
      </c>
      <c r="H54">
        <v>1654</v>
      </c>
      <c r="I54">
        <v>128871260</v>
      </c>
      <c r="J54">
        <v>936</v>
      </c>
      <c r="K54">
        <v>128871259</v>
      </c>
      <c r="L54">
        <v>998</v>
      </c>
      <c r="M54">
        <v>121371259</v>
      </c>
      <c r="N54">
        <v>1998</v>
      </c>
      <c r="O54">
        <v>55722893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12264</v>
      </c>
      <c r="C58">
        <v>3398</v>
      </c>
      <c r="D58">
        <v>3327</v>
      </c>
      <c r="E58">
        <v>5288</v>
      </c>
      <c r="F58">
        <v>1404</v>
      </c>
      <c r="G58">
        <v>1342</v>
      </c>
      <c r="H58">
        <v>4434</v>
      </c>
      <c r="I58">
        <v>1146</v>
      </c>
      <c r="J58">
        <v>655</v>
      </c>
    </row>
    <row r="59" spans="2:15" x14ac:dyDescent="0.25">
      <c r="B59">
        <v>11853</v>
      </c>
      <c r="C59">
        <v>3404</v>
      </c>
      <c r="D59">
        <v>3325</v>
      </c>
      <c r="E59">
        <v>5304</v>
      </c>
      <c r="F59">
        <v>1342</v>
      </c>
      <c r="G59">
        <v>1326</v>
      </c>
      <c r="H59">
        <v>4869</v>
      </c>
      <c r="I59">
        <v>1144</v>
      </c>
      <c r="J59">
        <v>702</v>
      </c>
    </row>
    <row r="60" spans="2:15" x14ac:dyDescent="0.25">
      <c r="B60">
        <v>11737</v>
      </c>
      <c r="C60">
        <v>3368</v>
      </c>
      <c r="D60">
        <v>3345</v>
      </c>
      <c r="E60">
        <v>5601</v>
      </c>
      <c r="F60">
        <v>1341</v>
      </c>
      <c r="G60">
        <v>1372</v>
      </c>
      <c r="H60">
        <v>4268</v>
      </c>
      <c r="I60">
        <v>1151</v>
      </c>
      <c r="J60">
        <v>655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41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AVERAGE(Table47[Newtonsoft (duration)]) - J38</f>
        <v>26527.666666666664</v>
      </c>
      <c r="D38" s="2">
        <f>AVERAGE(Table47[Revenj.NET full (duration)]) - J38</f>
        <v>9913.9999999999982</v>
      </c>
      <c r="E38" s="2">
        <f>AVERAGE(Table47[Revenj.NET minimal (duration)]) - J38</f>
        <v>10212.333333333334</v>
      </c>
      <c r="F38" s="2">
        <f>AVERAGE(Table47[Jackson (duration)]) - J39</f>
        <v>16312.666666666666</v>
      </c>
      <c r="G38" s="2">
        <f>AVERAGE(Table47[DSL client Java full (duration)]) - J39</f>
        <v>8169.333333333333</v>
      </c>
      <c r="H38" s="2">
        <f>AVERAGE(Table47[DSL client Java minimal (duration)]) - J39</f>
        <v>8314.6666666666661</v>
      </c>
      <c r="I38" s="2">
        <f>AVERAGE(Table47[Protobuf.NET (duration)]) - J38</f>
        <v>8062.6666666666661</v>
      </c>
      <c r="J38" s="2">
        <f>AVERAGE(Table48[.NET (instance only)])</f>
        <v>11596.333333333334</v>
      </c>
      <c r="K38" s="2">
        <f>AVERAGE(Table48[JVM (instance only)])</f>
        <v>5621.333333333333</v>
      </c>
    </row>
    <row r="39" spans="2:11" x14ac:dyDescent="0.25">
      <c r="B39" t="s">
        <v>3</v>
      </c>
      <c r="C39" s="2">
        <f>C40-C38</f>
        <v>79946</v>
      </c>
      <c r="D39" s="2">
        <f t="shared" ref="D39:I39" si="0">D40-D38</f>
        <v>13620.000000000002</v>
      </c>
      <c r="E39" s="2">
        <f t="shared" si="0"/>
        <v>11657.999999999995</v>
      </c>
      <c r="F39" s="2">
        <f t="shared" ref="F39:H39" si="1">F40-F38</f>
        <v>32994</v>
      </c>
      <c r="G39" s="2">
        <f t="shared" si="1"/>
        <v>4341.666666666667</v>
      </c>
      <c r="H39" s="2">
        <f t="shared" si="1"/>
        <v>3728.6666666666679</v>
      </c>
      <c r="I39" s="2">
        <f t="shared" si="0"/>
        <v>23027.666666666664</v>
      </c>
      <c r="J39" s="2"/>
      <c r="K39" s="2"/>
    </row>
    <row r="40" spans="2:11" x14ac:dyDescent="0.25">
      <c r="B40" t="s">
        <v>1</v>
      </c>
      <c r="C40" s="2">
        <f>AVERAGE(Table48[Newtonsoft (duration)]) - J38</f>
        <v>106473.66666666667</v>
      </c>
      <c r="D40" s="2">
        <f>AVERAGE(Table48[Revenj.NET full (duration)]) - J38</f>
        <v>23534</v>
      </c>
      <c r="E40" s="2">
        <f>AVERAGE(Table48[Revenj.NET minimal (duration)]) - J38</f>
        <v>21870.333333333328</v>
      </c>
      <c r="F40" s="2">
        <f>AVERAGE(Table48[Jackson (duration)]) - J39</f>
        <v>49306.666666666664</v>
      </c>
      <c r="G40" s="2">
        <f>AVERAGE(Table48[DSL client Java full (duration)]) - J39</f>
        <v>12511</v>
      </c>
      <c r="H40" s="2">
        <f>AVERAGE(Table48[DSL client Java minimal (duration)]) - J39</f>
        <v>12043.333333333334</v>
      </c>
      <c r="I40" s="2">
        <f>AVERAGE(Table48[Protobuf.NET (duration)]) - J38</f>
        <v>31090.333333333328</v>
      </c>
      <c r="J40" s="2"/>
      <c r="K40" s="2"/>
    </row>
    <row r="41" spans="2:11" x14ac:dyDescent="0.25">
      <c r="B41" t="s">
        <v>8</v>
      </c>
      <c r="C41" s="3">
        <f>AVERAGE(Table47[Newtonsoft (size)])</f>
        <v>1307232793</v>
      </c>
      <c r="D41" s="3">
        <f>AVERAGE(Table47[Revenj.NET full (size)])</f>
        <v>1282232786</v>
      </c>
      <c r="E41" s="3">
        <f>AVERAGE(Table47[Revenj.NET minimal (size)])</f>
        <v>1207232786</v>
      </c>
      <c r="F41" s="3">
        <f>AVERAGE(Table47[Jackson (size)])</f>
        <v>1298716394</v>
      </c>
      <c r="G41" s="3">
        <f>AVERAGE(Table47[DSL client Java full (size)])</f>
        <v>1298716389</v>
      </c>
      <c r="H41" s="3">
        <f>AVERAGE(Table47[DSL client Java minimal (size)])</f>
        <v>1223716389</v>
      </c>
      <c r="I41" s="3">
        <f>AVERAGE(Table47[Protobuf.NET (size)])</f>
        <v>567232787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DEVSQ(Table47[Newtonsoft (duration)])</f>
        <v>8150954</v>
      </c>
      <c r="D46" s="2">
        <f>DEVSQ(Table47[Revenj.NET full (duration)])</f>
        <v>4324.666666666667</v>
      </c>
      <c r="E46" s="2">
        <f>DEVSQ(Table47[Revenj.NET minimal (duration)])</f>
        <v>1016592.6666666667</v>
      </c>
      <c r="F46" s="2">
        <f>DEVSQ(Table47[Jackson (duration)])</f>
        <v>660188.66666666663</v>
      </c>
      <c r="G46" s="2">
        <f>DEVSQ(Table47[DSL client Java full (duration)])</f>
        <v>39840.666666666664</v>
      </c>
      <c r="H46" s="2">
        <f>DEVSQ(Table47[DSL client Java minimal (duration)])</f>
        <v>52640.666666666672</v>
      </c>
      <c r="I46" s="2">
        <f>DEVSQ(Table47[Protobuf.NET (duration)])</f>
        <v>40014</v>
      </c>
    </row>
    <row r="47" spans="2:11" x14ac:dyDescent="0.25">
      <c r="B47" t="s">
        <v>1</v>
      </c>
      <c r="C47" s="2">
        <f>DEVSQ(Table48[Newtonsoft (duration)])</f>
        <v>1661048</v>
      </c>
      <c r="D47" s="2">
        <f>DEVSQ(Table48[Revenj.NET full (duration)])</f>
        <v>62184.666666666657</v>
      </c>
      <c r="E47" s="2">
        <f>DEVSQ(Table48[Revenj.NET minimal (duration)])</f>
        <v>104292.66666666666</v>
      </c>
      <c r="F47" s="2">
        <f>DEVSQ(Table48[Jackson (duration)])</f>
        <v>11135500.666666668</v>
      </c>
      <c r="G47" s="2">
        <f>DEVSQ(Table48[DSL client Java full (duration)])</f>
        <v>1615112</v>
      </c>
      <c r="H47" s="2">
        <f>DEVSQ(Table48[DSL client Java minimal (duration)])</f>
        <v>394224.66666666663</v>
      </c>
      <c r="I47" s="2">
        <f>DEVSQ(Table48[Protobuf.NET (duration)])</f>
        <v>453592.66666666663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40455</v>
      </c>
      <c r="C52">
        <v>1307232793</v>
      </c>
      <c r="D52">
        <v>21510</v>
      </c>
      <c r="E52">
        <v>1282232786</v>
      </c>
      <c r="F52">
        <v>21364</v>
      </c>
      <c r="G52">
        <v>1207232786</v>
      </c>
      <c r="H52">
        <v>15787</v>
      </c>
      <c r="I52">
        <v>1298716394</v>
      </c>
      <c r="J52">
        <v>8190</v>
      </c>
      <c r="K52">
        <v>1298716389</v>
      </c>
      <c r="L52">
        <v>8221</v>
      </c>
      <c r="M52">
        <v>1223716389</v>
      </c>
      <c r="N52">
        <v>19560</v>
      </c>
      <c r="O52">
        <v>567232787</v>
      </c>
    </row>
    <row r="53" spans="2:15" x14ac:dyDescent="0.25">
      <c r="B53">
        <v>36941</v>
      </c>
      <c r="C53">
        <v>1307232793</v>
      </c>
      <c r="D53">
        <v>21464</v>
      </c>
      <c r="E53">
        <v>1282232786</v>
      </c>
      <c r="F53">
        <v>21431</v>
      </c>
      <c r="G53">
        <v>1207232786</v>
      </c>
      <c r="H53">
        <v>16926</v>
      </c>
      <c r="I53">
        <v>1298716394</v>
      </c>
      <c r="J53">
        <v>8019</v>
      </c>
      <c r="K53">
        <v>1298716389</v>
      </c>
      <c r="L53">
        <v>8221</v>
      </c>
      <c r="M53">
        <v>1223716389</v>
      </c>
      <c r="N53">
        <v>19821</v>
      </c>
      <c r="O53">
        <v>567232787</v>
      </c>
    </row>
    <row r="54" spans="2:15" x14ac:dyDescent="0.25">
      <c r="B54">
        <v>36976</v>
      </c>
      <c r="C54">
        <v>1307232793</v>
      </c>
      <c r="D54">
        <v>21557</v>
      </c>
      <c r="E54">
        <v>1282232786</v>
      </c>
      <c r="F54">
        <v>22631</v>
      </c>
      <c r="G54">
        <v>1207232786</v>
      </c>
      <c r="H54">
        <v>16225</v>
      </c>
      <c r="I54">
        <v>1298716394</v>
      </c>
      <c r="J54">
        <v>8299</v>
      </c>
      <c r="K54">
        <v>1298716389</v>
      </c>
      <c r="L54">
        <v>8502</v>
      </c>
      <c r="M54">
        <v>1223716389</v>
      </c>
      <c r="N54">
        <v>19596</v>
      </c>
      <c r="O54">
        <v>567232787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117248</v>
      </c>
      <c r="C58">
        <v>35199</v>
      </c>
      <c r="D58">
        <v>33547</v>
      </c>
      <c r="E58">
        <v>49031</v>
      </c>
      <c r="F58">
        <v>11887</v>
      </c>
      <c r="G58">
        <v>11560</v>
      </c>
      <c r="H58">
        <v>43201</v>
      </c>
      <c r="I58">
        <v>11600</v>
      </c>
      <c r="J58">
        <v>5616</v>
      </c>
    </row>
    <row r="59" spans="2:15" x14ac:dyDescent="0.25">
      <c r="B59">
        <v>117912</v>
      </c>
      <c r="C59">
        <v>34930</v>
      </c>
      <c r="D59">
        <v>33209</v>
      </c>
      <c r="E59">
        <v>47097</v>
      </c>
      <c r="F59">
        <v>12105</v>
      </c>
      <c r="G59">
        <v>12137</v>
      </c>
      <c r="H59">
        <v>42598</v>
      </c>
      <c r="I59">
        <v>11588</v>
      </c>
      <c r="J59">
        <v>5616</v>
      </c>
    </row>
    <row r="60" spans="2:15" x14ac:dyDescent="0.25">
      <c r="B60">
        <v>119050</v>
      </c>
      <c r="C60">
        <v>35262</v>
      </c>
      <c r="D60">
        <v>33644</v>
      </c>
      <c r="E60">
        <v>51792</v>
      </c>
      <c r="F60">
        <v>13541</v>
      </c>
      <c r="G60">
        <v>12433</v>
      </c>
      <c r="H60">
        <v>42261</v>
      </c>
      <c r="I60">
        <v>11601</v>
      </c>
      <c r="J60">
        <v>5632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42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AVERAGE(Table51[Newtonsoft (duration)]) - J38</f>
        <v>148</v>
      </c>
      <c r="D38" s="2">
        <f>AVERAGE(Table51[Revenj.NET full (duration)]) - J38</f>
        <v>29</v>
      </c>
      <c r="E38" s="2">
        <f>AVERAGE(Table51[Revenj.NET minimal (duration)]) - J38</f>
        <v>28.333333333333336</v>
      </c>
      <c r="F38" s="2">
        <f>AVERAGE(Table51[Jackson (duration)]) - J39</f>
        <v>229</v>
      </c>
      <c r="G38" s="2">
        <f>AVERAGE(Table51[DSL client Java full (duration)]) - J39</f>
        <v>78</v>
      </c>
      <c r="H38" s="2">
        <f>AVERAGE(Table51[DSL client Java minimal (duration)]) - J39</f>
        <v>83</v>
      </c>
      <c r="I38" s="2">
        <f>AVERAGE(Table51[Protobuf.NET (duration)]) - J38</f>
        <v>70.333333333333329</v>
      </c>
      <c r="J38" s="2">
        <f>AVERAGE(Table52[.NET (instance only)])</f>
        <v>8.6666666666666661</v>
      </c>
      <c r="K38" s="2">
        <f>AVERAGE(Table52[JVM (instance only)])</f>
        <v>25.666666666666668</v>
      </c>
    </row>
    <row r="39" spans="2:11" x14ac:dyDescent="0.25">
      <c r="B39" t="s">
        <v>3</v>
      </c>
      <c r="C39" s="2">
        <f>C40-C38</f>
        <v>151.33333333333331</v>
      </c>
      <c r="D39" s="2">
        <f t="shared" ref="D39:I39" si="0">D40-D38</f>
        <v>64</v>
      </c>
      <c r="E39" s="2">
        <f t="shared" si="0"/>
        <v>49.666666666666664</v>
      </c>
      <c r="F39" s="2">
        <f t="shared" ref="F39:H39" si="1">F40-F38</f>
        <v>291</v>
      </c>
      <c r="G39" s="2">
        <f t="shared" si="1"/>
        <v>73.333333333333343</v>
      </c>
      <c r="H39" s="2">
        <f t="shared" si="1"/>
        <v>52.333333333333343</v>
      </c>
      <c r="I39" s="2">
        <f t="shared" si="0"/>
        <v>30.666666666666671</v>
      </c>
      <c r="J39" s="2"/>
      <c r="K39" s="2"/>
    </row>
    <row r="40" spans="2:11" x14ac:dyDescent="0.25">
      <c r="B40" t="s">
        <v>1</v>
      </c>
      <c r="C40" s="2">
        <f>AVERAGE(Table52[Newtonsoft (duration)]) - J38</f>
        <v>299.33333333333331</v>
      </c>
      <c r="D40" s="2">
        <f>AVERAGE(Table52[Revenj.NET full (duration)]) - J38</f>
        <v>93</v>
      </c>
      <c r="E40" s="2">
        <f>AVERAGE(Table52[Revenj.NET minimal (duration)]) - J38</f>
        <v>78</v>
      </c>
      <c r="F40" s="2">
        <f>AVERAGE(Table52[Jackson (duration)]) - J39</f>
        <v>520</v>
      </c>
      <c r="G40" s="2">
        <f>AVERAGE(Table52[DSL client Java full (duration)]) - J39</f>
        <v>151.33333333333334</v>
      </c>
      <c r="H40" s="2">
        <f>AVERAGE(Table52[DSL client Java minimal (duration)]) - J39</f>
        <v>135.33333333333334</v>
      </c>
      <c r="I40" s="2">
        <f>AVERAGE(Table52[Protobuf.NET (duration)]) - J38</f>
        <v>101</v>
      </c>
      <c r="J40" s="2"/>
      <c r="K40" s="2"/>
    </row>
    <row r="41" spans="2:11" x14ac:dyDescent="0.25">
      <c r="B41" t="s">
        <v>8</v>
      </c>
      <c r="C41" s="3">
        <f>AVERAGE(Table51[Newtonsoft (size)])</f>
        <v>1787253</v>
      </c>
      <c r="D41" s="3">
        <f>AVERAGE(Table51[Revenj.NET full (size)])</f>
        <v>2249785</v>
      </c>
      <c r="E41" s="3">
        <f>AVERAGE(Table51[Revenj.NET minimal (size)])</f>
        <v>1802584</v>
      </c>
      <c r="F41" s="3">
        <f>AVERAGE(Table51[Jackson (size)])</f>
        <v>1763995</v>
      </c>
      <c r="G41" s="3">
        <f>AVERAGE(Table51[DSL client Java full (size)])</f>
        <v>2203118.3333333335</v>
      </c>
      <c r="H41" s="3">
        <f>AVERAGE(Table51[DSL client Java minimal (size)])</f>
        <v>1762584</v>
      </c>
      <c r="I41" s="3">
        <f>AVERAGE(Table51[Protobuf.NET (size)])</f>
        <v>704000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DEVSQ(Table51[Newtonsoft (duration)])</f>
        <v>2.6666666666666665</v>
      </c>
      <c r="D46" s="2">
        <f>DEVSQ(Table51[Revenj.NET full (duration)])</f>
        <v>0.66666666666666674</v>
      </c>
      <c r="E46" s="2">
        <f>DEVSQ(Table51[Revenj.NET minimal (duration)])</f>
        <v>0</v>
      </c>
      <c r="F46" s="2">
        <f>DEVSQ(Table51[Jackson (duration)])</f>
        <v>662</v>
      </c>
      <c r="G46" s="2">
        <f>DEVSQ(Table51[DSL client Java full (duration)])</f>
        <v>0</v>
      </c>
      <c r="H46" s="2">
        <f>DEVSQ(Table51[DSL client Java minimal (duration)])</f>
        <v>150</v>
      </c>
      <c r="I46" s="2">
        <f>DEVSQ(Table51[Protobuf.NET (duration)])</f>
        <v>0</v>
      </c>
    </row>
    <row r="47" spans="2:11" x14ac:dyDescent="0.25">
      <c r="B47" t="s">
        <v>1</v>
      </c>
      <c r="C47" s="2">
        <f>DEVSQ(Table52[Newtonsoft (duration)])</f>
        <v>146</v>
      </c>
      <c r="D47" s="2">
        <f>DEVSQ(Table52[Revenj.NET full (duration)])</f>
        <v>684.66666666666663</v>
      </c>
      <c r="E47" s="2">
        <f>DEVSQ(Table52[Revenj.NET minimal (duration)])</f>
        <v>0.66666666666666663</v>
      </c>
      <c r="F47" s="2">
        <f>DEVSQ(Table52[Jackson (duration)])</f>
        <v>150</v>
      </c>
      <c r="G47" s="2">
        <f>DEVSQ(Table52[DSL client Java full (duration)])</f>
        <v>640.66666666666663</v>
      </c>
      <c r="H47" s="2">
        <f>DEVSQ(Table52[DSL client Java minimal (duration)])</f>
        <v>160.66666666666666</v>
      </c>
      <c r="I47" s="2">
        <f>DEVSQ(Table52[Protobuf.NET (duration)])</f>
        <v>2.666666666666667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156</v>
      </c>
      <c r="C52">
        <v>1787253</v>
      </c>
      <c r="D52">
        <v>38</v>
      </c>
      <c r="E52">
        <v>2249785</v>
      </c>
      <c r="F52">
        <v>37</v>
      </c>
      <c r="G52">
        <v>1802584</v>
      </c>
      <c r="H52">
        <v>218</v>
      </c>
      <c r="I52">
        <v>1763995</v>
      </c>
      <c r="J52">
        <v>78</v>
      </c>
      <c r="K52">
        <v>2209785</v>
      </c>
      <c r="L52">
        <v>78</v>
      </c>
      <c r="M52">
        <v>1762584</v>
      </c>
      <c r="N52">
        <v>79</v>
      </c>
      <c r="O52">
        <v>704000</v>
      </c>
    </row>
    <row r="53" spans="2:15" x14ac:dyDescent="0.25">
      <c r="B53">
        <v>158</v>
      </c>
      <c r="C53">
        <v>1787253</v>
      </c>
      <c r="D53">
        <v>38</v>
      </c>
      <c r="E53">
        <v>2249785</v>
      </c>
      <c r="F53">
        <v>37</v>
      </c>
      <c r="G53">
        <v>1802584</v>
      </c>
      <c r="H53">
        <v>250</v>
      </c>
      <c r="I53">
        <v>1763995</v>
      </c>
      <c r="J53">
        <v>78</v>
      </c>
      <c r="K53">
        <v>2189785</v>
      </c>
      <c r="L53">
        <v>78</v>
      </c>
      <c r="M53">
        <v>1762584</v>
      </c>
      <c r="N53">
        <v>79</v>
      </c>
      <c r="O53">
        <v>704000</v>
      </c>
    </row>
    <row r="54" spans="2:15" x14ac:dyDescent="0.25">
      <c r="B54">
        <v>156</v>
      </c>
      <c r="C54">
        <v>1787253</v>
      </c>
      <c r="D54">
        <v>37</v>
      </c>
      <c r="E54">
        <v>2249785</v>
      </c>
      <c r="F54">
        <v>37</v>
      </c>
      <c r="G54">
        <v>1802584</v>
      </c>
      <c r="H54">
        <v>219</v>
      </c>
      <c r="I54">
        <v>1763995</v>
      </c>
      <c r="J54">
        <v>78</v>
      </c>
      <c r="K54">
        <v>2209785</v>
      </c>
      <c r="L54">
        <v>93</v>
      </c>
      <c r="M54">
        <v>1762584</v>
      </c>
      <c r="N54">
        <v>79</v>
      </c>
      <c r="O54">
        <v>704000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299</v>
      </c>
      <c r="C58">
        <v>123</v>
      </c>
      <c r="D58">
        <v>87</v>
      </c>
      <c r="E58">
        <v>530</v>
      </c>
      <c r="F58">
        <v>141</v>
      </c>
      <c r="G58">
        <v>125</v>
      </c>
      <c r="H58">
        <v>109</v>
      </c>
      <c r="I58">
        <v>9</v>
      </c>
      <c r="J58">
        <v>31</v>
      </c>
    </row>
    <row r="59" spans="2:15" x14ac:dyDescent="0.25">
      <c r="B59">
        <v>309</v>
      </c>
      <c r="C59">
        <v>92</v>
      </c>
      <c r="D59">
        <v>87</v>
      </c>
      <c r="E59">
        <v>515</v>
      </c>
      <c r="F59">
        <v>172</v>
      </c>
      <c r="G59">
        <v>141</v>
      </c>
      <c r="H59">
        <v>109</v>
      </c>
      <c r="I59">
        <v>9</v>
      </c>
      <c r="J59">
        <v>31</v>
      </c>
    </row>
    <row r="60" spans="2:15" x14ac:dyDescent="0.25">
      <c r="B60">
        <v>316</v>
      </c>
      <c r="C60">
        <v>90</v>
      </c>
      <c r="D60">
        <v>86</v>
      </c>
      <c r="E60">
        <v>515</v>
      </c>
      <c r="F60">
        <v>141</v>
      </c>
      <c r="G60">
        <v>140</v>
      </c>
      <c r="H60">
        <v>111</v>
      </c>
      <c r="I60">
        <v>8</v>
      </c>
      <c r="J60">
        <v>15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43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AVERAGE(Table55[Newtonsoft (duration)]) - J38</f>
        <v>643</v>
      </c>
      <c r="D38" s="2">
        <f>AVERAGE(Table55[Revenj.NET full (duration)]) - J38</f>
        <v>219</v>
      </c>
      <c r="E38" s="2">
        <f>AVERAGE(Table55[Revenj.NET minimal (duration)]) - J38</f>
        <v>205.66666666666669</v>
      </c>
      <c r="F38" s="2">
        <f>AVERAGE(Table55[Jackson (duration)]) - J39</f>
        <v>504.66666666666669</v>
      </c>
      <c r="G38" s="2">
        <f>AVERAGE(Table55[DSL client Java full (duration)]) - J39</f>
        <v>223.66666666666666</v>
      </c>
      <c r="H38" s="2">
        <f>AVERAGE(Table55[DSL client Java minimal (duration)]) - J39</f>
        <v>213</v>
      </c>
      <c r="I38" s="2">
        <f>AVERAGE(Table55[Protobuf.NET (duration)]) - J38</f>
        <v>154.33333333333331</v>
      </c>
      <c r="J38" s="2">
        <f>AVERAGE(Table56[.NET (instance only)])</f>
        <v>73.333333333333329</v>
      </c>
      <c r="K38" s="2">
        <f>AVERAGE(Table56[JVM (instance only)])</f>
        <v>78</v>
      </c>
    </row>
    <row r="39" spans="2:11" x14ac:dyDescent="0.25">
      <c r="B39" t="s">
        <v>3</v>
      </c>
      <c r="C39" s="2">
        <f>C40-C38</f>
        <v>1115.3333333333335</v>
      </c>
      <c r="D39" s="2">
        <f t="shared" ref="D39:I39" si="0">D40-D38</f>
        <v>381</v>
      </c>
      <c r="E39" s="2">
        <f t="shared" si="0"/>
        <v>388.99999999999994</v>
      </c>
      <c r="F39" s="2">
        <f t="shared" ref="F39:H39" si="1">F40-F38</f>
        <v>790.33333333333326</v>
      </c>
      <c r="G39" s="2">
        <f t="shared" si="1"/>
        <v>228.66666666666666</v>
      </c>
      <c r="H39" s="2">
        <f t="shared" si="1"/>
        <v>218.66666666666669</v>
      </c>
      <c r="I39" s="2">
        <f t="shared" si="0"/>
        <v>214.33333333333337</v>
      </c>
      <c r="J39" s="2"/>
      <c r="K39" s="2"/>
    </row>
    <row r="40" spans="2:11" x14ac:dyDescent="0.25">
      <c r="B40" t="s">
        <v>1</v>
      </c>
      <c r="C40" s="2">
        <f>AVERAGE(Table56[Newtonsoft (duration)]) - J38</f>
        <v>1758.3333333333335</v>
      </c>
      <c r="D40" s="2">
        <f>AVERAGE(Table56[Revenj.NET full (duration)]) - J38</f>
        <v>600</v>
      </c>
      <c r="E40" s="2">
        <f>AVERAGE(Table56[Revenj.NET minimal (duration)]) - J38</f>
        <v>594.66666666666663</v>
      </c>
      <c r="F40" s="2">
        <f>AVERAGE(Table56[Jackson (duration)]) - J39</f>
        <v>1295</v>
      </c>
      <c r="G40" s="2">
        <f>AVERAGE(Table56[DSL client Java full (duration)]) - J39</f>
        <v>452.33333333333331</v>
      </c>
      <c r="H40" s="2">
        <f>AVERAGE(Table56[DSL client Java minimal (duration)]) - J39</f>
        <v>431.66666666666669</v>
      </c>
      <c r="I40" s="2">
        <f>AVERAGE(Table56[Protobuf.NET (duration)]) - J38</f>
        <v>368.66666666666669</v>
      </c>
      <c r="J40" s="2"/>
      <c r="K40" s="2"/>
    </row>
    <row r="41" spans="2:11" x14ac:dyDescent="0.25">
      <c r="B41" t="s">
        <v>8</v>
      </c>
      <c r="C41" s="3">
        <f>AVERAGE(Table55[Newtonsoft (size)])</f>
        <v>18786512</v>
      </c>
      <c r="D41" s="3">
        <f>AVERAGE(Table55[Revenj.NET full (size)])</f>
        <v>23399332</v>
      </c>
      <c r="E41" s="3">
        <f>AVERAGE(Table55[Revenj.NET minimal (size)])</f>
        <v>18939843</v>
      </c>
      <c r="F41" s="3">
        <f>AVERAGE(Table55[Jackson (size)])</f>
        <v>18541254</v>
      </c>
      <c r="G41" s="3">
        <f>AVERAGE(Table55[DSL client Java full (size)])</f>
        <v>22999332</v>
      </c>
      <c r="H41" s="3">
        <f>AVERAGE(Table55[DSL client Java minimal (size)])</f>
        <v>18539843</v>
      </c>
      <c r="I41" s="3">
        <f>AVERAGE(Table55[Protobuf.NET (size)])</f>
        <v>7506385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DEVSQ(Table55[Newtonsoft (duration)])</f>
        <v>316.66666666666669</v>
      </c>
      <c r="D46" s="2">
        <f>DEVSQ(Table55[Revenj.NET full (duration)])</f>
        <v>16.666666666666664</v>
      </c>
      <c r="E46" s="2">
        <f>DEVSQ(Table55[Revenj.NET minimal (duration)])</f>
        <v>6</v>
      </c>
      <c r="F46" s="2">
        <f>DEVSQ(Table55[Jackson (duration)])</f>
        <v>160.66666666666669</v>
      </c>
      <c r="G46" s="2">
        <f>DEVSQ(Table55[DSL client Java full (duration)])</f>
        <v>1152.6666666666665</v>
      </c>
      <c r="H46" s="2">
        <f>DEVSQ(Table55[DSL client Java minimal (duration)])</f>
        <v>150</v>
      </c>
      <c r="I46" s="2">
        <f>DEVSQ(Table55[Protobuf.NET (duration)])</f>
        <v>2.6666666666666665</v>
      </c>
    </row>
    <row r="47" spans="2:11" x14ac:dyDescent="0.25">
      <c r="B47" t="s">
        <v>1</v>
      </c>
      <c r="C47" s="2">
        <f>DEVSQ(Table56[Newtonsoft (duration)])</f>
        <v>25980.666666666664</v>
      </c>
      <c r="D47" s="2">
        <f>DEVSQ(Table56[Revenj.NET full (duration)])</f>
        <v>2.666666666666667</v>
      </c>
      <c r="E47" s="2">
        <f>DEVSQ(Table56[Revenj.NET minimal (duration)])</f>
        <v>5586</v>
      </c>
      <c r="F47" s="2">
        <f>DEVSQ(Table56[Jackson (duration)])</f>
        <v>7814</v>
      </c>
      <c r="G47" s="2">
        <f>DEVSQ(Table56[DSL client Java full (duration)])</f>
        <v>480.66666666666663</v>
      </c>
      <c r="H47" s="2">
        <f>DEVSQ(Table56[DSL client Java minimal (duration)])</f>
        <v>170.66666666666669</v>
      </c>
      <c r="I47" s="2">
        <f>DEVSQ(Table56[Protobuf.NET (duration)])</f>
        <v>54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728</v>
      </c>
      <c r="C52">
        <v>18786512</v>
      </c>
      <c r="D52">
        <v>294</v>
      </c>
      <c r="E52">
        <v>23399332</v>
      </c>
      <c r="F52">
        <v>278</v>
      </c>
      <c r="G52">
        <v>18939843</v>
      </c>
      <c r="H52">
        <v>499</v>
      </c>
      <c r="I52">
        <v>18541254</v>
      </c>
      <c r="J52">
        <v>218</v>
      </c>
      <c r="K52">
        <v>22999332</v>
      </c>
      <c r="L52">
        <v>218</v>
      </c>
      <c r="M52">
        <v>18539843</v>
      </c>
      <c r="N52">
        <v>227</v>
      </c>
      <c r="O52">
        <v>7506385</v>
      </c>
    </row>
    <row r="53" spans="2:15" x14ac:dyDescent="0.25">
      <c r="B53">
        <v>703</v>
      </c>
      <c r="C53">
        <v>18786512</v>
      </c>
      <c r="D53">
        <v>294</v>
      </c>
      <c r="E53">
        <v>23399332</v>
      </c>
      <c r="F53">
        <v>278</v>
      </c>
      <c r="G53">
        <v>18939843</v>
      </c>
      <c r="H53">
        <v>500</v>
      </c>
      <c r="I53">
        <v>18541254</v>
      </c>
      <c r="J53">
        <v>250</v>
      </c>
      <c r="K53">
        <v>22999332</v>
      </c>
      <c r="L53">
        <v>218</v>
      </c>
      <c r="M53">
        <v>18539843</v>
      </c>
      <c r="N53">
        <v>229</v>
      </c>
      <c r="O53">
        <v>7506385</v>
      </c>
    </row>
    <row r="54" spans="2:15" x14ac:dyDescent="0.25">
      <c r="B54">
        <v>718</v>
      </c>
      <c r="C54">
        <v>18786512</v>
      </c>
      <c r="D54">
        <v>289</v>
      </c>
      <c r="E54">
        <v>23399332</v>
      </c>
      <c r="F54">
        <v>281</v>
      </c>
      <c r="G54">
        <v>18939843</v>
      </c>
      <c r="H54">
        <v>515</v>
      </c>
      <c r="I54">
        <v>18541254</v>
      </c>
      <c r="J54">
        <v>203</v>
      </c>
      <c r="K54">
        <v>22999332</v>
      </c>
      <c r="L54">
        <v>203</v>
      </c>
      <c r="M54">
        <v>18539843</v>
      </c>
      <c r="N54">
        <v>227</v>
      </c>
      <c r="O54">
        <v>7506385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1877</v>
      </c>
      <c r="C58">
        <v>672</v>
      </c>
      <c r="D58">
        <v>636</v>
      </c>
      <c r="E58">
        <v>1358</v>
      </c>
      <c r="F58">
        <v>452</v>
      </c>
      <c r="G58">
        <v>437</v>
      </c>
      <c r="H58">
        <v>445</v>
      </c>
      <c r="I58">
        <v>73</v>
      </c>
      <c r="J58">
        <v>78</v>
      </c>
    </row>
    <row r="59" spans="2:15" x14ac:dyDescent="0.25">
      <c r="B59">
        <v>1916</v>
      </c>
      <c r="C59">
        <v>674</v>
      </c>
      <c r="D59">
        <v>639</v>
      </c>
      <c r="E59">
        <v>1233</v>
      </c>
      <c r="F59">
        <v>437</v>
      </c>
      <c r="G59">
        <v>421</v>
      </c>
      <c r="H59">
        <v>436</v>
      </c>
      <c r="I59">
        <v>73</v>
      </c>
      <c r="J59">
        <v>78</v>
      </c>
    </row>
    <row r="60" spans="2:15" x14ac:dyDescent="0.25">
      <c r="B60">
        <v>1702</v>
      </c>
      <c r="C60">
        <v>674</v>
      </c>
      <c r="D60">
        <v>729</v>
      </c>
      <c r="E60">
        <v>1294</v>
      </c>
      <c r="F60">
        <v>468</v>
      </c>
      <c r="G60">
        <v>437</v>
      </c>
      <c r="H60">
        <v>445</v>
      </c>
      <c r="I60">
        <v>74</v>
      </c>
      <c r="J60">
        <v>78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44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AVERAGE(Table59[Newtonsoft (duration)]) - J38</f>
        <v>5770.666666666667</v>
      </c>
      <c r="D38" s="2">
        <f>AVERAGE(Table59[Revenj.NET full (duration)]) - J38</f>
        <v>2119.6666666666665</v>
      </c>
      <c r="E38" s="2">
        <f>AVERAGE(Table59[Revenj.NET minimal (duration)]) - J38</f>
        <v>2213.6666666666665</v>
      </c>
      <c r="F38" s="2">
        <f>AVERAGE(Table59[Jackson (duration)]) - J39</f>
        <v>1991.6666666666667</v>
      </c>
      <c r="G38" s="2">
        <f>AVERAGE(Table59[DSL client Java full (duration)]) - J39</f>
        <v>998</v>
      </c>
      <c r="H38" s="2">
        <f>AVERAGE(Table59[DSL client Java minimal (duration)]) - J39</f>
        <v>967</v>
      </c>
      <c r="I38" s="2">
        <f>AVERAGE(Table59[Protobuf.NET (duration)]) - J38</f>
        <v>1155.6666666666667</v>
      </c>
      <c r="J38" s="2">
        <f>AVERAGE(Table60[.NET (instance only)])</f>
        <v>706</v>
      </c>
      <c r="K38" s="2">
        <f>AVERAGE(Table60[JVM (instance only)])</f>
        <v>244.33333333333334</v>
      </c>
    </row>
    <row r="39" spans="2:11" x14ac:dyDescent="0.25">
      <c r="B39" t="s">
        <v>3</v>
      </c>
      <c r="C39" s="2">
        <f>C40-C38</f>
        <v>10111.666666666664</v>
      </c>
      <c r="D39" s="2">
        <f t="shared" ref="D39:I39" si="0">D40-D38</f>
        <v>3810.0000000000005</v>
      </c>
      <c r="E39" s="2">
        <f t="shared" si="0"/>
        <v>3314.3333333333335</v>
      </c>
      <c r="F39" s="2">
        <f t="shared" ref="F39:H39" si="1">F40-F38</f>
        <v>5273</v>
      </c>
      <c r="G39" s="2">
        <f t="shared" si="1"/>
        <v>1055.6666666666665</v>
      </c>
      <c r="H39" s="2">
        <f t="shared" si="1"/>
        <v>977.66666666666674</v>
      </c>
      <c r="I39" s="2">
        <f t="shared" si="0"/>
        <v>1895.9999999999998</v>
      </c>
      <c r="J39" s="2"/>
      <c r="K39" s="2"/>
    </row>
    <row r="40" spans="2:11" x14ac:dyDescent="0.25">
      <c r="B40" t="s">
        <v>1</v>
      </c>
      <c r="C40" s="2">
        <f>AVERAGE(Table60[Newtonsoft (duration)]) - J38</f>
        <v>15882.333333333332</v>
      </c>
      <c r="D40" s="2">
        <f>AVERAGE(Table60[Revenj.NET full (duration)]) - J38</f>
        <v>5929.666666666667</v>
      </c>
      <c r="E40" s="2">
        <f>AVERAGE(Table60[Revenj.NET minimal (duration)]) - J38</f>
        <v>5528</v>
      </c>
      <c r="F40" s="2">
        <f>AVERAGE(Table60[Jackson (duration)]) - J39</f>
        <v>7264.666666666667</v>
      </c>
      <c r="G40" s="2">
        <f>AVERAGE(Table60[DSL client Java full (duration)]) - J39</f>
        <v>2053.6666666666665</v>
      </c>
      <c r="H40" s="2">
        <f>AVERAGE(Table60[DSL client Java minimal (duration)]) - J39</f>
        <v>1944.6666666666667</v>
      </c>
      <c r="I40" s="2">
        <f>AVERAGE(Table60[Protobuf.NET (duration)]) - J38</f>
        <v>3051.6666666666665</v>
      </c>
      <c r="J40" s="2"/>
      <c r="K40" s="2"/>
    </row>
    <row r="41" spans="2:11" x14ac:dyDescent="0.25">
      <c r="B41" t="s">
        <v>8</v>
      </c>
      <c r="C41" s="3">
        <f>AVERAGE(Table59[Newtonsoft (size)])</f>
        <v>196941225</v>
      </c>
      <c r="D41" s="3">
        <f>AVERAGE(Table59[Revenj.NET full (size)])</f>
        <v>243056893</v>
      </c>
      <c r="E41" s="3">
        <f>AVERAGE(Table59[Revenj.NET minimal (size)])</f>
        <v>198474556</v>
      </c>
      <c r="F41" s="3">
        <f>AVERAGE(Table59[Jackson (size)])</f>
        <v>194475967</v>
      </c>
      <c r="G41" s="3">
        <f>AVERAGE(Table59[DSL client Java full (size)])</f>
        <v>239056893</v>
      </c>
      <c r="H41" s="3">
        <f>AVERAGE(Table59[DSL client Java minimal (size)])</f>
        <v>194474556</v>
      </c>
      <c r="I41" s="3">
        <f>AVERAGE(Table59[Protobuf.NET (size)])</f>
        <v>79244720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DEVSQ(Table59[Newtonsoft (duration)])</f>
        <v>90642.666666666657</v>
      </c>
      <c r="D46" s="2">
        <f>DEVSQ(Table59[Revenj.NET full (duration)])</f>
        <v>4.6666666666666661</v>
      </c>
      <c r="E46" s="2">
        <f>DEVSQ(Table59[Revenj.NET minimal (duration)])</f>
        <v>253794.66666666669</v>
      </c>
      <c r="F46" s="2">
        <f>DEVSQ(Table59[Jackson (duration)])</f>
        <v>3084.666666666667</v>
      </c>
      <c r="G46" s="2">
        <f>DEVSQ(Table59[DSL client Java full (duration)])</f>
        <v>0</v>
      </c>
      <c r="H46" s="2">
        <f>DEVSQ(Table59[DSL client Java minimal (duration)])</f>
        <v>0</v>
      </c>
      <c r="I46" s="2">
        <f>DEVSQ(Table59[Protobuf.NET (duration)])</f>
        <v>159780.66666666666</v>
      </c>
    </row>
    <row r="47" spans="2:11" x14ac:dyDescent="0.25">
      <c r="B47" t="s">
        <v>1</v>
      </c>
      <c r="C47" s="2">
        <f>DEVSQ(Table60[Newtonsoft (duration)])</f>
        <v>932498.66666666674</v>
      </c>
      <c r="D47" s="2">
        <f>DEVSQ(Table60[Revenj.NET full (duration)])</f>
        <v>11858.666666666668</v>
      </c>
      <c r="E47" s="2">
        <f>DEVSQ(Table60[Revenj.NET minimal (duration)])</f>
        <v>4538</v>
      </c>
      <c r="F47" s="2">
        <f>DEVSQ(Table60[Jackson (duration)])</f>
        <v>3084.6666666666665</v>
      </c>
      <c r="G47" s="2">
        <f>DEVSQ(Table60[DSL client Java full (duration)])</f>
        <v>2092.666666666667</v>
      </c>
      <c r="H47" s="2">
        <f>DEVSQ(Table60[DSL client Java minimal (duration)])</f>
        <v>6928.666666666667</v>
      </c>
      <c r="I47" s="2">
        <f>DEVSQ(Table60[Protobuf.NET (duration)])</f>
        <v>4298.666666666667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6234</v>
      </c>
      <c r="C52">
        <v>196941225</v>
      </c>
      <c r="D52">
        <v>2824</v>
      </c>
      <c r="E52">
        <v>243056893</v>
      </c>
      <c r="F52">
        <v>2713</v>
      </c>
      <c r="G52">
        <v>198474556</v>
      </c>
      <c r="H52">
        <v>1997</v>
      </c>
      <c r="I52">
        <v>194475967</v>
      </c>
      <c r="J52">
        <v>998</v>
      </c>
      <c r="K52">
        <v>239056893</v>
      </c>
      <c r="L52">
        <v>967</v>
      </c>
      <c r="M52">
        <v>194474556</v>
      </c>
      <c r="N52">
        <v>1694</v>
      </c>
      <c r="O52">
        <v>79244720</v>
      </c>
    </row>
    <row r="53" spans="2:15" x14ac:dyDescent="0.25">
      <c r="B53">
        <v>6632</v>
      </c>
      <c r="C53">
        <v>196941225</v>
      </c>
      <c r="D53">
        <v>2827</v>
      </c>
      <c r="E53">
        <v>243056893</v>
      </c>
      <c r="F53">
        <v>2715</v>
      </c>
      <c r="G53">
        <v>198474556</v>
      </c>
      <c r="H53">
        <v>2028</v>
      </c>
      <c r="I53">
        <v>194475967</v>
      </c>
      <c r="J53">
        <v>998</v>
      </c>
      <c r="K53">
        <v>239056893</v>
      </c>
      <c r="L53">
        <v>967</v>
      </c>
      <c r="M53">
        <v>194474556</v>
      </c>
      <c r="N53">
        <v>1703</v>
      </c>
      <c r="O53">
        <v>79244720</v>
      </c>
    </row>
    <row r="54" spans="2:15" x14ac:dyDescent="0.25">
      <c r="B54">
        <v>6564</v>
      </c>
      <c r="C54">
        <v>196941225</v>
      </c>
      <c r="D54">
        <v>2826</v>
      </c>
      <c r="E54">
        <v>243056893</v>
      </c>
      <c r="F54">
        <v>3331</v>
      </c>
      <c r="G54">
        <v>198474556</v>
      </c>
      <c r="H54">
        <v>1950</v>
      </c>
      <c r="I54">
        <v>194475967</v>
      </c>
      <c r="J54">
        <v>998</v>
      </c>
      <c r="K54">
        <v>239056893</v>
      </c>
      <c r="L54">
        <v>967</v>
      </c>
      <c r="M54">
        <v>194474556</v>
      </c>
      <c r="N54">
        <v>2188</v>
      </c>
      <c r="O54">
        <v>79244720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17129</v>
      </c>
      <c r="C58">
        <v>6635</v>
      </c>
      <c r="D58">
        <v>6289</v>
      </c>
      <c r="E58">
        <v>7223</v>
      </c>
      <c r="F58">
        <v>2043</v>
      </c>
      <c r="G58">
        <v>1919</v>
      </c>
      <c r="H58">
        <v>3727</v>
      </c>
      <c r="I58">
        <v>705</v>
      </c>
      <c r="J58">
        <v>249</v>
      </c>
    </row>
    <row r="59" spans="2:15" x14ac:dyDescent="0.25">
      <c r="B59">
        <v>15821</v>
      </c>
      <c r="C59">
        <v>6559</v>
      </c>
      <c r="D59">
        <v>6207</v>
      </c>
      <c r="E59">
        <v>7301</v>
      </c>
      <c r="F59">
        <v>2090</v>
      </c>
      <c r="G59">
        <v>2012</v>
      </c>
      <c r="H59">
        <v>3811</v>
      </c>
      <c r="I59">
        <v>708</v>
      </c>
      <c r="J59">
        <v>234</v>
      </c>
    </row>
    <row r="60" spans="2:15" x14ac:dyDescent="0.25">
      <c r="B60">
        <v>16815</v>
      </c>
      <c r="C60">
        <v>6713</v>
      </c>
      <c r="D60">
        <v>6206</v>
      </c>
      <c r="E60">
        <v>7270</v>
      </c>
      <c r="F60">
        <v>2028</v>
      </c>
      <c r="G60">
        <v>1903</v>
      </c>
      <c r="H60">
        <v>3735</v>
      </c>
      <c r="I60">
        <v>705</v>
      </c>
      <c r="J60">
        <v>250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45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AVERAGE(Table63[Newtonsoft (duration)]) - J38</f>
        <v>2162.333333333333</v>
      </c>
      <c r="D38" s="2">
        <f>AVERAGE(Table63[Revenj.NET full (duration)]) - J38</f>
        <v>740.66666666666663</v>
      </c>
      <c r="E38" s="2">
        <f>AVERAGE(Table63[Revenj.NET minimal (duration)]) - J38</f>
        <v>732.33333333333337</v>
      </c>
      <c r="F38" s="2">
        <f>AVERAGE(Table63[Jackson (duration)]) - J39</f>
        <v>816.33333333333337</v>
      </c>
      <c r="G38" s="2">
        <f>AVERAGE(Table63[DSL client Java full (duration)]) - J39</f>
        <v>493.66666666666669</v>
      </c>
      <c r="H38" s="2">
        <f>AVERAGE(Table63[DSL client Java minimal (duration)]) - J39</f>
        <v>489</v>
      </c>
      <c r="I38" s="2">
        <f>AVERAGE(Table63[Protobuf.NET (duration)]) - J38</f>
        <v>316.66666666666663</v>
      </c>
      <c r="J38" s="2">
        <f>AVERAGE(Table64[.NET (instance only)])</f>
        <v>630.33333333333337</v>
      </c>
      <c r="K38" s="2">
        <f>AVERAGE(Table64[JVM (instance only)])</f>
        <v>223.66666666666666</v>
      </c>
    </row>
    <row r="39" spans="2:11" x14ac:dyDescent="0.25">
      <c r="B39" t="s">
        <v>3</v>
      </c>
      <c r="C39" s="2">
        <f>C40-C38</f>
        <v>4446.0000000000009</v>
      </c>
      <c r="D39" s="2">
        <f t="shared" ref="D39:I39" si="0">D40-D38</f>
        <v>890.99999999999989</v>
      </c>
      <c r="E39" s="2">
        <f t="shared" si="0"/>
        <v>848.66666666666663</v>
      </c>
      <c r="F39" s="2">
        <f t="shared" ref="F39:H39" si="1">F40-F38</f>
        <v>2153</v>
      </c>
      <c r="G39" s="2">
        <f t="shared" si="1"/>
        <v>400.66666666666669</v>
      </c>
      <c r="H39" s="2">
        <f t="shared" si="1"/>
        <v>332.33333333333337</v>
      </c>
      <c r="I39" s="2">
        <f t="shared" si="0"/>
        <v>921.66666666666686</v>
      </c>
      <c r="J39" s="2"/>
      <c r="K39" s="2"/>
    </row>
    <row r="40" spans="2:11" x14ac:dyDescent="0.25">
      <c r="B40" t="s">
        <v>1</v>
      </c>
      <c r="C40" s="2">
        <f>AVERAGE(Table64[Newtonsoft (duration)]) - J38</f>
        <v>6608.3333333333339</v>
      </c>
      <c r="D40" s="2">
        <f>AVERAGE(Table64[Revenj.NET full (duration)]) - J38</f>
        <v>1631.6666666666665</v>
      </c>
      <c r="E40" s="2">
        <f>AVERAGE(Table64[Revenj.NET minimal (duration)]) - J38</f>
        <v>1581</v>
      </c>
      <c r="F40" s="2">
        <f>AVERAGE(Table64[Jackson (duration)]) - J39</f>
        <v>2969.3333333333335</v>
      </c>
      <c r="G40" s="2">
        <f>AVERAGE(Table64[DSL client Java full (duration)]) - J39</f>
        <v>894.33333333333337</v>
      </c>
      <c r="H40" s="2">
        <f>AVERAGE(Table64[DSL client Java minimal (duration)]) - J39</f>
        <v>821.33333333333337</v>
      </c>
      <c r="I40" s="2">
        <f>AVERAGE(Table64[Protobuf.NET (duration)]) - J38</f>
        <v>1238.3333333333335</v>
      </c>
      <c r="J40" s="2"/>
      <c r="K40" s="2"/>
    </row>
    <row r="41" spans="2:11" x14ac:dyDescent="0.25">
      <c r="B41" t="s">
        <v>8</v>
      </c>
      <c r="C41" s="3">
        <f>AVERAGE(Table63[Newtonsoft (size)])</f>
        <v>102068216</v>
      </c>
      <c r="D41" s="3">
        <f>AVERAGE(Table63[Revenj.NET full (size)])</f>
        <v>100367182</v>
      </c>
      <c r="E41" s="3">
        <f>AVERAGE(Table63[Revenj.NET minimal (size)])</f>
        <v>94448479</v>
      </c>
      <c r="F41" s="3">
        <f>AVERAGE(Table63[Jackson (size)])</f>
        <v>93002712</v>
      </c>
      <c r="G41" s="3">
        <f>AVERAGE(Table63[DSL client Java full (size)])</f>
        <v>98537198.333333328</v>
      </c>
      <c r="H41" s="3">
        <f>AVERAGE(Table63[DSL client Java minimal (size)])</f>
        <v>87102982</v>
      </c>
      <c r="I41" s="3">
        <f>AVERAGE(Table63[Protobuf.NET (size)])</f>
        <v>46379642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DEVSQ(Table63[Newtonsoft (duration)])</f>
        <v>2012.666666666667</v>
      </c>
      <c r="D46" s="2">
        <f>DEVSQ(Table63[Revenj.NET full (duration)])</f>
        <v>38</v>
      </c>
      <c r="E46" s="2">
        <f>DEVSQ(Table63[Revenj.NET minimal (duration)])</f>
        <v>28.666666666666668</v>
      </c>
      <c r="F46" s="2">
        <f>DEVSQ(Table63[Jackson (duration)])</f>
        <v>1100.6666666666665</v>
      </c>
      <c r="G46" s="2">
        <f>DEVSQ(Table63[DSL client Java full (duration)])</f>
        <v>170.66666666666669</v>
      </c>
      <c r="H46" s="2">
        <f>DEVSQ(Table63[DSL client Java minimal (duration)])</f>
        <v>3002</v>
      </c>
      <c r="I46" s="2">
        <f>DEVSQ(Table63[Protobuf.NET (duration)])</f>
        <v>62</v>
      </c>
    </row>
    <row r="47" spans="2:11" x14ac:dyDescent="0.25">
      <c r="B47" t="s">
        <v>1</v>
      </c>
      <c r="C47" s="2">
        <f>DEVSQ(Table64[Newtonsoft (duration)])</f>
        <v>311420.66666666669</v>
      </c>
      <c r="D47" s="2">
        <f>DEVSQ(Table64[Revenj.NET full (duration)])</f>
        <v>114</v>
      </c>
      <c r="E47" s="2">
        <f>DEVSQ(Table64[Revenj.NET minimal (duration)])</f>
        <v>4.6666666666666661</v>
      </c>
      <c r="F47" s="2">
        <f>DEVSQ(Table64[Jackson (duration)])</f>
        <v>1100.6666666666667</v>
      </c>
      <c r="G47" s="2">
        <f>DEVSQ(Table64[DSL client Java full (duration)])</f>
        <v>6928.6666666666661</v>
      </c>
      <c r="H47" s="2">
        <f>DEVSQ(Table64[DSL client Java minimal (duration)])</f>
        <v>3074.6666666666665</v>
      </c>
      <c r="I47" s="2">
        <f>DEVSQ(Table64[Protobuf.NET (duration)])</f>
        <v>28.666666666666668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2759</v>
      </c>
      <c r="C52">
        <v>102068216</v>
      </c>
      <c r="D52">
        <v>1369</v>
      </c>
      <c r="E52">
        <v>100367182</v>
      </c>
      <c r="F52">
        <v>1367</v>
      </c>
      <c r="G52">
        <v>94448479</v>
      </c>
      <c r="H52">
        <v>796</v>
      </c>
      <c r="I52">
        <v>93002714</v>
      </c>
      <c r="J52">
        <v>499</v>
      </c>
      <c r="K52">
        <v>98536025</v>
      </c>
      <c r="L52">
        <v>453</v>
      </c>
      <c r="M52">
        <v>87101222</v>
      </c>
      <c r="N52">
        <v>942</v>
      </c>
      <c r="O52">
        <v>46379642</v>
      </c>
    </row>
    <row r="53" spans="2:15" x14ac:dyDescent="0.25">
      <c r="B53">
        <v>2822</v>
      </c>
      <c r="C53">
        <v>102068216</v>
      </c>
      <c r="D53">
        <v>1368</v>
      </c>
      <c r="E53">
        <v>100367182</v>
      </c>
      <c r="F53">
        <v>1361</v>
      </c>
      <c r="G53">
        <v>94448479</v>
      </c>
      <c r="H53">
        <v>842</v>
      </c>
      <c r="I53">
        <v>93002711</v>
      </c>
      <c r="J53">
        <v>499</v>
      </c>
      <c r="K53">
        <v>98541305</v>
      </c>
      <c r="L53">
        <v>530</v>
      </c>
      <c r="M53">
        <v>87106502</v>
      </c>
      <c r="N53">
        <v>953</v>
      </c>
      <c r="O53">
        <v>46379642</v>
      </c>
    </row>
    <row r="54" spans="2:15" x14ac:dyDescent="0.25">
      <c r="B54">
        <v>2797</v>
      </c>
      <c r="C54">
        <v>102068216</v>
      </c>
      <c r="D54">
        <v>1376</v>
      </c>
      <c r="E54">
        <v>100367182</v>
      </c>
      <c r="F54">
        <v>1360</v>
      </c>
      <c r="G54">
        <v>94448479</v>
      </c>
      <c r="H54">
        <v>811</v>
      </c>
      <c r="I54">
        <v>93002711</v>
      </c>
      <c r="J54">
        <v>483</v>
      </c>
      <c r="K54">
        <v>98534265</v>
      </c>
      <c r="L54">
        <v>484</v>
      </c>
      <c r="M54">
        <v>87101222</v>
      </c>
      <c r="N54">
        <v>946</v>
      </c>
      <c r="O54">
        <v>46379642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6839</v>
      </c>
      <c r="C58">
        <v>2261</v>
      </c>
      <c r="D58">
        <v>2213</v>
      </c>
      <c r="E58">
        <v>2949</v>
      </c>
      <c r="F58">
        <v>920</v>
      </c>
      <c r="G58">
        <v>858</v>
      </c>
      <c r="H58">
        <v>1873</v>
      </c>
      <c r="I58">
        <v>628</v>
      </c>
      <c r="J58">
        <v>203</v>
      </c>
    </row>
    <row r="59" spans="2:15" x14ac:dyDescent="0.25">
      <c r="B59">
        <v>7249</v>
      </c>
      <c r="C59">
        <v>2270</v>
      </c>
      <c r="D59">
        <v>2211</v>
      </c>
      <c r="E59">
        <v>2995</v>
      </c>
      <c r="F59">
        <v>827</v>
      </c>
      <c r="G59">
        <v>826</v>
      </c>
      <c r="H59">
        <v>1866</v>
      </c>
      <c r="I59">
        <v>639</v>
      </c>
      <c r="J59">
        <v>234</v>
      </c>
    </row>
    <row r="60" spans="2:15" x14ac:dyDescent="0.25">
      <c r="B60">
        <v>7628</v>
      </c>
      <c r="C60">
        <v>2255</v>
      </c>
      <c r="D60">
        <v>2210</v>
      </c>
      <c r="E60">
        <v>2964</v>
      </c>
      <c r="F60">
        <v>936</v>
      </c>
      <c r="G60">
        <v>780</v>
      </c>
      <c r="H60">
        <v>1867</v>
      </c>
      <c r="I60">
        <v>624</v>
      </c>
      <c r="J60">
        <v>234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46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AVERAGE(Table67[Newtonsoft (duration)]) - J38</f>
        <v>21108</v>
      </c>
      <c r="D38" s="2">
        <f>AVERAGE(Table67[Revenj.NET full (duration)]) - J38</f>
        <v>7556</v>
      </c>
      <c r="E38" s="2">
        <f>AVERAGE(Table67[Revenj.NET minimal (duration)]) - J38</f>
        <v>7377.6666666666661</v>
      </c>
      <c r="F38" s="2">
        <f>AVERAGE(Table67[Jackson (duration)]) - J39</f>
        <v>7040.666666666667</v>
      </c>
      <c r="G38" s="2">
        <f>AVERAGE(Table67[DSL client Java full (duration)]) - J39</f>
        <v>3359</v>
      </c>
      <c r="H38" s="2">
        <f>AVERAGE(Table67[DSL client Java minimal (duration)]) - J39</f>
        <v>3343.3333333333335</v>
      </c>
      <c r="I38" s="2">
        <f>AVERAGE(Table67[Protobuf.NET (duration)]) - J38</f>
        <v>3041.6666666666661</v>
      </c>
      <c r="J38" s="2">
        <f>AVERAGE(Table68[.NET (instance only)])</f>
        <v>6386</v>
      </c>
      <c r="K38" s="2">
        <f>AVERAGE(Table68[JVM (instance only)])</f>
        <v>1414.6666666666667</v>
      </c>
    </row>
    <row r="39" spans="2:11" x14ac:dyDescent="0.25">
      <c r="B39" t="s">
        <v>3</v>
      </c>
      <c r="C39" s="2">
        <f>C40-C38</f>
        <v>43932.666666666672</v>
      </c>
      <c r="D39" s="2">
        <f t="shared" ref="D39:I39" si="0">D40-D38</f>
        <v>8771</v>
      </c>
      <c r="E39" s="2">
        <f t="shared" si="0"/>
        <v>8717.0000000000018</v>
      </c>
      <c r="F39" s="2">
        <f t="shared" ref="F39:H39" si="1">F40-F38</f>
        <v>19188</v>
      </c>
      <c r="G39" s="2">
        <f t="shared" si="1"/>
        <v>2584.666666666667</v>
      </c>
      <c r="H39" s="2">
        <f t="shared" si="1"/>
        <v>2178.9999999999995</v>
      </c>
      <c r="I39" s="2">
        <f t="shared" si="0"/>
        <v>9457.0000000000018</v>
      </c>
      <c r="J39" s="2"/>
      <c r="K39" s="2"/>
    </row>
    <row r="40" spans="2:11" x14ac:dyDescent="0.25">
      <c r="B40" t="s">
        <v>1</v>
      </c>
      <c r="C40" s="2">
        <f>AVERAGE(Table68[Newtonsoft (duration)]) - J38</f>
        <v>65040.666666666672</v>
      </c>
      <c r="D40" s="2">
        <f>AVERAGE(Table68[Revenj.NET full (duration)]) - J38</f>
        <v>16327</v>
      </c>
      <c r="E40" s="2">
        <f>AVERAGE(Table68[Revenj.NET minimal (duration)]) - J38</f>
        <v>16094.666666666668</v>
      </c>
      <c r="F40" s="2">
        <f>AVERAGE(Table68[Jackson (duration)]) - J39</f>
        <v>26228.666666666668</v>
      </c>
      <c r="G40" s="2">
        <f>AVERAGE(Table68[DSL client Java full (duration)]) - J39</f>
        <v>5943.666666666667</v>
      </c>
      <c r="H40" s="2">
        <f>AVERAGE(Table68[DSL client Java minimal (duration)]) - J39</f>
        <v>5522.333333333333</v>
      </c>
      <c r="I40" s="2">
        <f>AVERAGE(Table68[Protobuf.NET (duration)]) - J38</f>
        <v>12498.666666666668</v>
      </c>
      <c r="J40" s="2"/>
      <c r="K40" s="2"/>
    </row>
    <row r="41" spans="2:11" x14ac:dyDescent="0.25">
      <c r="B41" t="s">
        <v>8</v>
      </c>
      <c r="C41" s="3">
        <f>AVERAGE(Table67[Newtonsoft (size)])</f>
        <v>1036016757</v>
      </c>
      <c r="D41" s="3">
        <f>AVERAGE(Table67[Revenj.NET full (size)])</f>
        <v>1019005810</v>
      </c>
      <c r="E41" s="3">
        <f>AVERAGE(Table67[Revenj.NET minimal (size)])</f>
        <v>959819407</v>
      </c>
      <c r="F41" s="3">
        <f>AVERAGE(Table67[Jackson (size)])</f>
        <v>940324279</v>
      </c>
      <c r="G41" s="3">
        <f>AVERAGE(Table67[DSL client Java full (size)])</f>
        <v>995649406.33333337</v>
      </c>
      <c r="H41" s="3">
        <f>AVERAGE(Table67[DSL client Java minimal (size)])</f>
        <v>881329136.66666663</v>
      </c>
      <c r="I41" s="3">
        <f>AVERAGE(Table67[Protobuf.NET (size)])</f>
        <v>474011652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DEVSQ(Table67[Newtonsoft (duration)])</f>
        <v>4538</v>
      </c>
      <c r="D46" s="2">
        <f>DEVSQ(Table67[Revenj.NET full (duration)])</f>
        <v>25998</v>
      </c>
      <c r="E46" s="2">
        <f>DEVSQ(Table67[Revenj.NET minimal (duration)])</f>
        <v>202.66666666666666</v>
      </c>
      <c r="F46" s="2">
        <f>DEVSQ(Table67[Jackson (duration)])</f>
        <v>138488.66666666669</v>
      </c>
      <c r="G46" s="2">
        <f>DEVSQ(Table67[DSL client Java full (duration)])</f>
        <v>662</v>
      </c>
      <c r="H46" s="2">
        <f>DEVSQ(Table67[DSL client Java minimal (duration)])</f>
        <v>1100.6666666666665</v>
      </c>
      <c r="I46" s="2">
        <f>DEVSQ(Table67[Protobuf.NET (duration)])</f>
        <v>88.666666666666657</v>
      </c>
    </row>
    <row r="47" spans="2:11" x14ac:dyDescent="0.25">
      <c r="B47" t="s">
        <v>1</v>
      </c>
      <c r="C47" s="2">
        <f>DEVSQ(Table68[Newtonsoft (duration)])</f>
        <v>20129652.666666668</v>
      </c>
      <c r="D47" s="2">
        <f>DEVSQ(Table68[Revenj.NET full (duration)])</f>
        <v>1154</v>
      </c>
      <c r="E47" s="2">
        <f>DEVSQ(Table68[Revenj.NET minimal (duration)])</f>
        <v>258802.66666666666</v>
      </c>
      <c r="F47" s="2">
        <f>DEVSQ(Table68[Jackson (duration)])</f>
        <v>406864.66666666669</v>
      </c>
      <c r="G47" s="2">
        <f>DEVSQ(Table68[DSL client Java full (duration)])</f>
        <v>1922.6666666666665</v>
      </c>
      <c r="H47" s="2">
        <f>DEVSQ(Table68[DSL client Java minimal (duration)])</f>
        <v>13640.666666666668</v>
      </c>
      <c r="I47" s="2">
        <f>DEVSQ(Table68[Protobuf.NET (duration)])</f>
        <v>55730.666666666664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27467</v>
      </c>
      <c r="C52">
        <v>1036016757</v>
      </c>
      <c r="D52">
        <v>14055</v>
      </c>
      <c r="E52">
        <v>1019005810</v>
      </c>
      <c r="F52">
        <v>13753</v>
      </c>
      <c r="G52">
        <v>959819407</v>
      </c>
      <c r="H52">
        <v>6739</v>
      </c>
      <c r="I52">
        <v>940324279</v>
      </c>
      <c r="J52">
        <v>3370</v>
      </c>
      <c r="K52">
        <v>995639873</v>
      </c>
      <c r="L52">
        <v>3323</v>
      </c>
      <c r="M52">
        <v>881340870</v>
      </c>
      <c r="N52">
        <v>9420</v>
      </c>
      <c r="O52">
        <v>474011652</v>
      </c>
    </row>
    <row r="53" spans="2:15" x14ac:dyDescent="0.25">
      <c r="B53">
        <v>27466</v>
      </c>
      <c r="C53">
        <v>1036016757</v>
      </c>
      <c r="D53">
        <v>13944</v>
      </c>
      <c r="E53">
        <v>1019005810</v>
      </c>
      <c r="F53">
        <v>13765</v>
      </c>
      <c r="G53">
        <v>959819407</v>
      </c>
      <c r="H53">
        <v>7160</v>
      </c>
      <c r="I53">
        <v>940324279</v>
      </c>
      <c r="J53">
        <v>3338</v>
      </c>
      <c r="K53">
        <v>995646473</v>
      </c>
      <c r="L53">
        <v>3338</v>
      </c>
      <c r="M53">
        <v>881321070</v>
      </c>
      <c r="N53">
        <v>9432</v>
      </c>
      <c r="O53">
        <v>474011652</v>
      </c>
    </row>
    <row r="54" spans="2:15" x14ac:dyDescent="0.25">
      <c r="B54">
        <v>27549</v>
      </c>
      <c r="C54">
        <v>1036016757</v>
      </c>
      <c r="D54">
        <v>13827</v>
      </c>
      <c r="E54">
        <v>1019005810</v>
      </c>
      <c r="F54">
        <v>13773</v>
      </c>
      <c r="G54">
        <v>959819407</v>
      </c>
      <c r="H54">
        <v>7223</v>
      </c>
      <c r="I54">
        <v>940324279</v>
      </c>
      <c r="J54">
        <v>3369</v>
      </c>
      <c r="K54">
        <v>995661873</v>
      </c>
      <c r="L54">
        <v>3369</v>
      </c>
      <c r="M54">
        <v>881325470</v>
      </c>
      <c r="N54">
        <v>9431</v>
      </c>
      <c r="O54">
        <v>474011652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73911</v>
      </c>
      <c r="C58">
        <v>22694</v>
      </c>
      <c r="D58">
        <v>22880</v>
      </c>
      <c r="E58">
        <v>26629</v>
      </c>
      <c r="F58">
        <v>5913</v>
      </c>
      <c r="G58">
        <v>5616</v>
      </c>
      <c r="H58">
        <v>18986</v>
      </c>
      <c r="I58">
        <v>6365</v>
      </c>
      <c r="J58">
        <v>1233</v>
      </c>
    </row>
    <row r="59" spans="2:15" x14ac:dyDescent="0.25">
      <c r="B59">
        <v>72516</v>
      </c>
      <c r="C59">
        <v>22705</v>
      </c>
      <c r="D59">
        <v>22182</v>
      </c>
      <c r="E59">
        <v>26317</v>
      </c>
      <c r="F59">
        <v>5943</v>
      </c>
      <c r="G59">
        <v>5460</v>
      </c>
      <c r="H59">
        <v>18692</v>
      </c>
      <c r="I59">
        <v>6341</v>
      </c>
      <c r="J59">
        <v>1747</v>
      </c>
    </row>
    <row r="60" spans="2:15" x14ac:dyDescent="0.25">
      <c r="B60">
        <v>67853</v>
      </c>
      <c r="C60">
        <v>22740</v>
      </c>
      <c r="D60">
        <v>22380</v>
      </c>
      <c r="E60">
        <v>25740</v>
      </c>
      <c r="F60">
        <v>5975</v>
      </c>
      <c r="G60">
        <v>5491</v>
      </c>
      <c r="H60">
        <v>18976</v>
      </c>
      <c r="I60">
        <v>6452</v>
      </c>
      <c r="J60">
        <v>1264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47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AVERAGE(Table71[Newtonsoft (duration)]) - J38</f>
        <v>213430.66666666666</v>
      </c>
      <c r="D38" s="2">
        <f>AVERAGE(Table71[Revenj.NET full (duration)]) - J38</f>
        <v>75586.666666666686</v>
      </c>
      <c r="E38" s="2">
        <f>AVERAGE(Table71[Revenj.NET minimal (duration)]) - J38</f>
        <v>74856.666666666686</v>
      </c>
      <c r="F38" s="2">
        <f>AVERAGE(Table71[Jackson (duration)]) - J39</f>
        <v>67938.333333333328</v>
      </c>
      <c r="G38" s="2">
        <f>AVERAGE(Table71[DSL client Java full (duration)]) - J39</f>
        <v>32942.333333333336</v>
      </c>
      <c r="H38" s="2">
        <f>AVERAGE(Table71[DSL client Java minimal (duration)]) - J39</f>
        <v>32749.666666666668</v>
      </c>
      <c r="I38" s="2">
        <f>AVERAGE(Table71[Protobuf.NET (duration)]) - J38</f>
        <v>31440.666666666664</v>
      </c>
      <c r="J38" s="2">
        <f>AVERAGE(Table72[.NET (instance only)])</f>
        <v>62466.666666666664</v>
      </c>
      <c r="K38" s="2">
        <f>AVERAGE(Table72[JVM (instance only)])</f>
        <v>11622</v>
      </c>
    </row>
    <row r="39" spans="2:11" x14ac:dyDescent="0.25">
      <c r="B39" t="s">
        <v>3</v>
      </c>
      <c r="C39" s="2">
        <f>C40-C38</f>
        <v>427595.00000000012</v>
      </c>
      <c r="D39" s="2">
        <f t="shared" ref="D39:I39" si="0">D40-D38</f>
        <v>89300.333333333314</v>
      </c>
      <c r="E39" s="2">
        <f t="shared" si="0"/>
        <v>84473.666666666657</v>
      </c>
      <c r="F39" s="2">
        <f t="shared" ref="F39:H39" si="1">F40-F38</f>
        <v>189701.33333333331</v>
      </c>
      <c r="G39" s="2">
        <f t="shared" si="1"/>
        <v>24414</v>
      </c>
      <c r="H39" s="2">
        <f t="shared" si="1"/>
        <v>22240.333333333332</v>
      </c>
      <c r="I39" s="2">
        <f t="shared" si="0"/>
        <v>92324.333333333343</v>
      </c>
      <c r="J39" s="2"/>
      <c r="K39" s="2"/>
    </row>
    <row r="40" spans="2:11" x14ac:dyDescent="0.25">
      <c r="B40" t="s">
        <v>1</v>
      </c>
      <c r="C40" s="2">
        <f>AVERAGE(Table72[Newtonsoft (duration)]) - J38</f>
        <v>641025.66666666674</v>
      </c>
      <c r="D40" s="2">
        <f>AVERAGE(Table72[Revenj.NET full (duration)]) - J38</f>
        <v>164887</v>
      </c>
      <c r="E40" s="2">
        <f>AVERAGE(Table72[Revenj.NET minimal (duration)]) - J38</f>
        <v>159330.33333333334</v>
      </c>
      <c r="F40" s="2">
        <f>AVERAGE(Table72[Jackson (duration)]) - J39</f>
        <v>257639.66666666666</v>
      </c>
      <c r="G40" s="2">
        <f>AVERAGE(Table72[DSL client Java full (duration)]) - J39</f>
        <v>57356.333333333336</v>
      </c>
      <c r="H40" s="2">
        <f>AVERAGE(Table72[DSL client Java minimal (duration)]) - J39</f>
        <v>54990</v>
      </c>
      <c r="I40" s="2">
        <f>AVERAGE(Table72[Protobuf.NET (duration)]) - J38</f>
        <v>123765</v>
      </c>
      <c r="J40" s="2"/>
      <c r="K40" s="2"/>
    </row>
    <row r="41" spans="2:11" x14ac:dyDescent="0.25">
      <c r="B41" t="s">
        <v>8</v>
      </c>
      <c r="C41" s="3">
        <f>AVERAGE(Table71[Newtonsoft (size)])</f>
        <v>10513667762</v>
      </c>
      <c r="D41" s="3">
        <f>AVERAGE(Table71[Revenj.NET full (size)])</f>
        <v>10343557825</v>
      </c>
      <c r="E41" s="3">
        <f>AVERAGE(Table71[Revenj.NET minimal (size)])</f>
        <v>9751694422</v>
      </c>
      <c r="F41" s="3">
        <f>AVERAGE(Table71[Jackson (size)])</f>
        <v>9506224114</v>
      </c>
      <c r="G41" s="3">
        <f>AVERAGE(Table71[DSL client Java full (size)])</f>
        <v>10059710102</v>
      </c>
      <c r="H41" s="3">
        <f>AVERAGE(Table71[DSL client Java minimal (size)])</f>
        <v>8916251365.666666</v>
      </c>
      <c r="I41" s="3">
        <f>AVERAGE(Table71[Protobuf.NET (size)])</f>
        <v>4841867567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DEVSQ(Table71[Newtonsoft (duration)])</f>
        <v>1290104.6666666667</v>
      </c>
      <c r="D46" s="2">
        <f>DEVSQ(Table71[Revenj.NET full (duration)])</f>
        <v>214744.66666666669</v>
      </c>
      <c r="E46" s="2">
        <f>DEVSQ(Table71[Revenj.NET minimal (duration)])</f>
        <v>849700.66666666663</v>
      </c>
      <c r="F46" s="2">
        <f>DEVSQ(Table71[Jackson (duration)])</f>
        <v>3905354.666666667</v>
      </c>
      <c r="G46" s="2">
        <f>DEVSQ(Table71[DSL client Java full (duration)])</f>
        <v>229380.66666666669</v>
      </c>
      <c r="H46" s="2">
        <f>DEVSQ(Table71[DSL client Java minimal (duration)])</f>
        <v>12172.666666666668</v>
      </c>
      <c r="I46" s="2">
        <f>DEVSQ(Table71[Protobuf.NET (duration)])</f>
        <v>1052504.6666666667</v>
      </c>
    </row>
    <row r="47" spans="2:11" x14ac:dyDescent="0.25">
      <c r="B47" t="s">
        <v>1</v>
      </c>
      <c r="C47" s="2">
        <f>DEVSQ(Table72[Newtonsoft (duration)])</f>
        <v>1080303940.6666667</v>
      </c>
      <c r="D47" s="2">
        <f>DEVSQ(Table72[Revenj.NET full (duration)])</f>
        <v>821860.66666666674</v>
      </c>
      <c r="E47" s="2">
        <f>DEVSQ(Table72[Revenj.NET minimal (duration)])</f>
        <v>176954</v>
      </c>
      <c r="F47" s="2">
        <f>DEVSQ(Table72[Jackson (duration)])</f>
        <v>7384532.666666667</v>
      </c>
      <c r="G47" s="2">
        <f>DEVSQ(Table72[DSL client Java full (duration)])</f>
        <v>76144.666666666657</v>
      </c>
      <c r="H47" s="2">
        <f>DEVSQ(Table72[DSL client Java minimal (duration)])</f>
        <v>259422</v>
      </c>
      <c r="I47" s="2">
        <f>DEVSQ(Table72[Protobuf.NET (duration)])</f>
        <v>242218.66666666669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275721</v>
      </c>
      <c r="C52">
        <v>10513667762</v>
      </c>
      <c r="D52">
        <v>138238</v>
      </c>
      <c r="E52">
        <v>10343557825</v>
      </c>
      <c r="F52">
        <v>137802</v>
      </c>
      <c r="G52">
        <v>9751694422</v>
      </c>
      <c r="H52">
        <v>68125</v>
      </c>
      <c r="I52">
        <v>9506224114</v>
      </c>
      <c r="J52">
        <v>32558</v>
      </c>
      <c r="K52">
        <v>10059666102</v>
      </c>
      <c r="L52">
        <v>32760</v>
      </c>
      <c r="M52">
        <v>8916280699</v>
      </c>
      <c r="N52">
        <v>93387</v>
      </c>
      <c r="O52">
        <v>4841867567</v>
      </c>
    </row>
    <row r="53" spans="2:15" x14ac:dyDescent="0.25">
      <c r="B53">
        <v>275197</v>
      </c>
      <c r="C53">
        <v>10513667762</v>
      </c>
      <c r="D53">
        <v>137675</v>
      </c>
      <c r="E53">
        <v>10343557825</v>
      </c>
      <c r="F53">
        <v>136581</v>
      </c>
      <c r="G53">
        <v>9751694422</v>
      </c>
      <c r="H53">
        <v>69233</v>
      </c>
      <c r="I53">
        <v>9506224114</v>
      </c>
      <c r="J53">
        <v>33072</v>
      </c>
      <c r="K53">
        <v>10059622102</v>
      </c>
      <c r="L53">
        <v>32667</v>
      </c>
      <c r="M53">
        <v>8916456699</v>
      </c>
      <c r="N53">
        <v>93599</v>
      </c>
      <c r="O53">
        <v>4841867567</v>
      </c>
    </row>
    <row r="54" spans="2:15" x14ac:dyDescent="0.25">
      <c r="B54">
        <v>276774</v>
      </c>
      <c r="C54">
        <v>10513667762</v>
      </c>
      <c r="D54">
        <v>138247</v>
      </c>
      <c r="E54">
        <v>10343557825</v>
      </c>
      <c r="F54">
        <v>137587</v>
      </c>
      <c r="G54">
        <v>9751694422</v>
      </c>
      <c r="H54">
        <v>66457</v>
      </c>
      <c r="I54">
        <v>9506224114</v>
      </c>
      <c r="J54">
        <v>33197</v>
      </c>
      <c r="K54">
        <v>10059842102</v>
      </c>
      <c r="L54">
        <v>32822</v>
      </c>
      <c r="M54">
        <v>8916016699</v>
      </c>
      <c r="N54">
        <v>94736</v>
      </c>
      <c r="O54">
        <v>4841867567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727147</v>
      </c>
      <c r="C58">
        <v>227220</v>
      </c>
      <c r="D58">
        <v>222140</v>
      </c>
      <c r="E58">
        <v>258212</v>
      </c>
      <c r="F58">
        <v>57580</v>
      </c>
      <c r="G58">
        <v>54709</v>
      </c>
      <c r="H58">
        <v>186629</v>
      </c>
      <c r="I58">
        <v>62444</v>
      </c>
      <c r="J58">
        <v>12075</v>
      </c>
    </row>
    <row r="59" spans="2:15" x14ac:dyDescent="0.25">
      <c r="B59">
        <v>680688</v>
      </c>
      <c r="C59">
        <v>226790</v>
      </c>
      <c r="D59">
        <v>221610</v>
      </c>
      <c r="E59">
        <v>259210</v>
      </c>
      <c r="F59">
        <v>57268</v>
      </c>
      <c r="G59">
        <v>54865</v>
      </c>
      <c r="H59">
        <v>185981</v>
      </c>
      <c r="I59">
        <v>62486</v>
      </c>
      <c r="J59">
        <v>11434</v>
      </c>
    </row>
    <row r="60" spans="2:15" x14ac:dyDescent="0.25">
      <c r="B60">
        <v>702642</v>
      </c>
      <c r="C60">
        <v>228051</v>
      </c>
      <c r="D60">
        <v>221641</v>
      </c>
      <c r="E60">
        <v>255497</v>
      </c>
      <c r="F60">
        <v>57221</v>
      </c>
      <c r="G60">
        <v>55396</v>
      </c>
      <c r="H60">
        <v>186085</v>
      </c>
      <c r="I60">
        <v>62470</v>
      </c>
      <c r="J60">
        <v>11357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48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AVERAGE(Table75[Newtonsoft (duration)]) - J38</f>
        <v>994.66666666666674</v>
      </c>
      <c r="D38" s="2">
        <f>AVERAGE(Table75[Revenj.NET full (duration)]) - J38</f>
        <v>366.33333333333331</v>
      </c>
      <c r="E38" s="2">
        <f>AVERAGE(Table75[Revenj.NET minimal (duration)]) - J38</f>
        <v>355.00000000000006</v>
      </c>
      <c r="F38" s="2">
        <f>AVERAGE(Table75[Jackson (duration)]) - J39</f>
        <v>811</v>
      </c>
      <c r="G38" s="2">
        <f>AVERAGE(Table75[DSL client Java full (duration)]) - J39</f>
        <v>457.66666666666669</v>
      </c>
      <c r="H38" s="2">
        <f>AVERAGE(Table75[DSL client Java minimal (duration)]) - J39</f>
        <v>447</v>
      </c>
      <c r="I38" s="2">
        <f>AVERAGE(Table75[Protobuf.NET (duration)]) - J38</f>
        <v>270.00000000000006</v>
      </c>
      <c r="J38" s="2">
        <f>AVERAGE(Table76[.NET (instance only)])</f>
        <v>320.33333333333331</v>
      </c>
      <c r="K38" s="2">
        <f>AVERAGE(Table76[JVM (instance only)])</f>
        <v>249.66666666666666</v>
      </c>
    </row>
    <row r="39" spans="2:11" x14ac:dyDescent="0.25">
      <c r="B39" t="s">
        <v>3</v>
      </c>
      <c r="C39" s="2">
        <f>C40-C38</f>
        <v>1729.9999999999998</v>
      </c>
      <c r="D39" s="2">
        <f t="shared" ref="D39:I39" si="0">D40-D38</f>
        <v>682.00000000000023</v>
      </c>
      <c r="E39" s="2">
        <f t="shared" si="0"/>
        <v>661.66666666666674</v>
      </c>
      <c r="F39" s="2">
        <f t="shared" ref="F39:H39" si="1">F40-F38</f>
        <v>1164.6666666666667</v>
      </c>
      <c r="G39" s="2">
        <f t="shared" si="1"/>
        <v>192.33333333333331</v>
      </c>
      <c r="H39" s="2">
        <f t="shared" si="1"/>
        <v>171.66666666666663</v>
      </c>
      <c r="I39" s="2">
        <f t="shared" si="0"/>
        <v>565.33333333333348</v>
      </c>
      <c r="J39" s="2"/>
      <c r="K39" s="2"/>
    </row>
    <row r="40" spans="2:11" x14ac:dyDescent="0.25">
      <c r="B40" t="s">
        <v>1</v>
      </c>
      <c r="C40" s="2">
        <f>AVERAGE(Table76[Newtonsoft (duration)]) - J38</f>
        <v>2724.6666666666665</v>
      </c>
      <c r="D40" s="2">
        <f>AVERAGE(Table76[Revenj.NET full (duration)]) - J38</f>
        <v>1048.3333333333335</v>
      </c>
      <c r="E40" s="2">
        <f>AVERAGE(Table76[Revenj.NET minimal (duration)]) - J38</f>
        <v>1016.6666666666667</v>
      </c>
      <c r="F40" s="2">
        <f>AVERAGE(Table76[Jackson (duration)]) - J39</f>
        <v>1975.6666666666667</v>
      </c>
      <c r="G40" s="2">
        <f>AVERAGE(Table76[DSL client Java full (duration)]) - J39</f>
        <v>650</v>
      </c>
      <c r="H40" s="2">
        <f>AVERAGE(Table76[DSL client Java minimal (duration)]) - J39</f>
        <v>618.66666666666663</v>
      </c>
      <c r="I40" s="2">
        <f>AVERAGE(Table76[Protobuf.NET (duration)]) - J38</f>
        <v>835.33333333333348</v>
      </c>
      <c r="J40" s="2"/>
      <c r="K40" s="2"/>
    </row>
    <row r="41" spans="2:11" x14ac:dyDescent="0.25">
      <c r="B41" t="s">
        <v>8</v>
      </c>
      <c r="C41" s="3">
        <f>AVERAGE(Table75[Newtonsoft (size)])</f>
        <v>53958047</v>
      </c>
      <c r="D41" s="3">
        <f>AVERAGE(Table75[Revenj.NET full (size)])</f>
        <v>53385449</v>
      </c>
      <c r="E41" s="3">
        <f>AVERAGE(Table75[Revenj.NET minimal (size)])</f>
        <v>49687553</v>
      </c>
      <c r="F41" s="3">
        <f>AVERAGE(Table75[Jackson (size)])</f>
        <v>48374616</v>
      </c>
      <c r="G41" s="3">
        <f>AVERAGE(Table75[DSL client Java full (size)])</f>
        <v>52070235</v>
      </c>
      <c r="H41" s="3">
        <f>AVERAGE(Table75[DSL client Java minimal (size)])</f>
        <v>48317161</v>
      </c>
      <c r="I41" s="3">
        <f>AVERAGE(Table75[Protobuf.NET (size)])</f>
        <v>23140661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DEVSQ(Table75[Newtonsoft (duration)])</f>
        <v>1482</v>
      </c>
      <c r="D46" s="2">
        <f>DEVSQ(Table75[Revenj.NET full (duration)])</f>
        <v>200.66666666666669</v>
      </c>
      <c r="E46" s="2">
        <f>DEVSQ(Table75[Revenj.NET minimal (duration)])</f>
        <v>0.66666666666666663</v>
      </c>
      <c r="F46" s="2">
        <f>DEVSQ(Table75[Jackson (duration)])</f>
        <v>482</v>
      </c>
      <c r="G46" s="2">
        <f>DEVSQ(Table75[DSL client Java full (duration)])</f>
        <v>640.66666666666663</v>
      </c>
      <c r="H46" s="2">
        <f>DEVSQ(Table75[DSL client Java minimal (duration)])</f>
        <v>150</v>
      </c>
      <c r="I46" s="2">
        <f>DEVSQ(Table75[Protobuf.NET (duration)])</f>
        <v>10.666666666666668</v>
      </c>
    </row>
    <row r="47" spans="2:11" x14ac:dyDescent="0.25">
      <c r="B47" t="s">
        <v>1</v>
      </c>
      <c r="C47" s="2">
        <f>DEVSQ(Table76[Newtonsoft (duration)])</f>
        <v>18506</v>
      </c>
      <c r="D47" s="2">
        <f>DEVSQ(Table76[Revenj.NET full (duration)])</f>
        <v>2.6666666666666665</v>
      </c>
      <c r="E47" s="2">
        <f>DEVSQ(Table76[Revenj.NET minimal (duration)])</f>
        <v>6</v>
      </c>
      <c r="F47" s="2">
        <f>DEVSQ(Table76[Jackson (duration)])</f>
        <v>2092.6666666666665</v>
      </c>
      <c r="G47" s="2">
        <f>DEVSQ(Table76[DSL client Java full (duration)])</f>
        <v>1142</v>
      </c>
      <c r="H47" s="2">
        <f>DEVSQ(Table76[DSL client Java minimal (duration)])</f>
        <v>1100.6666666666665</v>
      </c>
      <c r="I47" s="2">
        <f>DEVSQ(Table76[Protobuf.NET (duration)])</f>
        <v>0.66666666666666674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1344</v>
      </c>
      <c r="C52">
        <v>53958047</v>
      </c>
      <c r="D52">
        <v>698</v>
      </c>
      <c r="E52">
        <v>53385449</v>
      </c>
      <c r="F52">
        <v>675</v>
      </c>
      <c r="G52">
        <v>49687553</v>
      </c>
      <c r="H52">
        <v>812</v>
      </c>
      <c r="I52">
        <v>48374616</v>
      </c>
      <c r="J52">
        <v>437</v>
      </c>
      <c r="K52">
        <v>52070235</v>
      </c>
      <c r="L52">
        <v>452</v>
      </c>
      <c r="M52">
        <v>48317161</v>
      </c>
      <c r="N52">
        <v>593</v>
      </c>
      <c r="O52">
        <v>23140661</v>
      </c>
    </row>
    <row r="53" spans="2:15" x14ac:dyDescent="0.25">
      <c r="B53">
        <v>1290</v>
      </c>
      <c r="C53">
        <v>53958047</v>
      </c>
      <c r="D53">
        <v>679</v>
      </c>
      <c r="E53">
        <v>53385449</v>
      </c>
      <c r="F53">
        <v>676</v>
      </c>
      <c r="G53">
        <v>49687553</v>
      </c>
      <c r="H53">
        <v>795</v>
      </c>
      <c r="I53">
        <v>48374616</v>
      </c>
      <c r="J53">
        <v>468</v>
      </c>
      <c r="K53">
        <v>52070235</v>
      </c>
      <c r="L53">
        <v>452</v>
      </c>
      <c r="M53">
        <v>48317161</v>
      </c>
      <c r="N53">
        <v>589</v>
      </c>
      <c r="O53">
        <v>23140661</v>
      </c>
    </row>
    <row r="54" spans="2:15" x14ac:dyDescent="0.25">
      <c r="B54">
        <v>1311</v>
      </c>
      <c r="C54">
        <v>53958047</v>
      </c>
      <c r="D54">
        <v>683</v>
      </c>
      <c r="E54">
        <v>53385449</v>
      </c>
      <c r="F54">
        <v>675</v>
      </c>
      <c r="G54">
        <v>49687553</v>
      </c>
      <c r="H54">
        <v>826</v>
      </c>
      <c r="I54">
        <v>48374616</v>
      </c>
      <c r="J54">
        <v>468</v>
      </c>
      <c r="K54">
        <v>52070235</v>
      </c>
      <c r="L54">
        <v>437</v>
      </c>
      <c r="M54">
        <v>48317161</v>
      </c>
      <c r="N54">
        <v>589</v>
      </c>
      <c r="O54">
        <v>23140661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3104</v>
      </c>
      <c r="C58">
        <v>1368</v>
      </c>
      <c r="D58">
        <v>1336</v>
      </c>
      <c r="E58">
        <v>1950</v>
      </c>
      <c r="F58">
        <v>655</v>
      </c>
      <c r="G58">
        <v>593</v>
      </c>
      <c r="H58">
        <v>1156</v>
      </c>
      <c r="I58">
        <v>320</v>
      </c>
      <c r="J58">
        <v>265</v>
      </c>
    </row>
    <row r="59" spans="2:15" x14ac:dyDescent="0.25">
      <c r="B59">
        <v>2934</v>
      </c>
      <c r="C59">
        <v>1370</v>
      </c>
      <c r="D59">
        <v>1336</v>
      </c>
      <c r="E59">
        <v>2012</v>
      </c>
      <c r="F59">
        <v>671</v>
      </c>
      <c r="G59">
        <v>624</v>
      </c>
      <c r="H59">
        <v>1155</v>
      </c>
      <c r="I59">
        <v>321</v>
      </c>
      <c r="J59">
        <v>234</v>
      </c>
    </row>
    <row r="60" spans="2:15" x14ac:dyDescent="0.25">
      <c r="B60">
        <v>3097</v>
      </c>
      <c r="C60">
        <v>1368</v>
      </c>
      <c r="D60">
        <v>1339</v>
      </c>
      <c r="E60">
        <v>1965</v>
      </c>
      <c r="F60">
        <v>624</v>
      </c>
      <c r="G60">
        <v>639</v>
      </c>
      <c r="H60">
        <v>1156</v>
      </c>
      <c r="I60">
        <v>320</v>
      </c>
      <c r="J60">
        <v>250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workbookViewId="0"/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31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AVERAGE(Serialization[Newtonsoft (duration)]) - J38</f>
        <v>81.666666666666671</v>
      </c>
      <c r="D38" s="2">
        <f>AVERAGE(Serialization[Revenj.NET full (duration)]) - J38</f>
        <v>3</v>
      </c>
      <c r="E38" s="2">
        <f>AVERAGE(Serialization[Revenj.NET minimal (duration)]) - J38</f>
        <v>3</v>
      </c>
      <c r="F38" s="2">
        <f>AVERAGE(Serialization[Jackson (duration)]) - J39</f>
        <v>46.666666666666664</v>
      </c>
      <c r="G38" s="2">
        <f>AVERAGE(Serialization[DSL client Java full (duration)]) - J39</f>
        <v>5.333333333333333</v>
      </c>
      <c r="H38" s="2">
        <f>AVERAGE(Serialization[DSL client Java minimal (duration)]) - J39</f>
        <v>0</v>
      </c>
      <c r="I38" s="2">
        <f>AVERAGE(Serialization[Protobuf.NET (duration)]) - J38</f>
        <v>39</v>
      </c>
      <c r="J38" s="2">
        <f>AVERAGE(Both[.NET (instance only)])</f>
        <v>0</v>
      </c>
      <c r="K38" s="2">
        <f>AVERAGE(Both[JVM (instance only)])</f>
        <v>0</v>
      </c>
    </row>
    <row r="39" spans="2:11" x14ac:dyDescent="0.25">
      <c r="B39" t="s">
        <v>3</v>
      </c>
      <c r="C39" s="2">
        <f>C40-C38</f>
        <v>32</v>
      </c>
      <c r="D39" s="2">
        <f t="shared" ref="D39:I39" si="0">D40-D38</f>
        <v>10.666666666666666</v>
      </c>
      <c r="E39" s="2">
        <f t="shared" si="0"/>
        <v>10.333333333333334</v>
      </c>
      <c r="F39" s="2">
        <f t="shared" ref="F39:H39" si="1">F40-F38</f>
        <v>21.000000000000007</v>
      </c>
      <c r="G39" s="2">
        <f t="shared" si="1"/>
        <v>0</v>
      </c>
      <c r="H39" s="2">
        <f t="shared" si="1"/>
        <v>0</v>
      </c>
      <c r="I39" s="2">
        <f t="shared" si="0"/>
        <v>4</v>
      </c>
      <c r="J39" s="2"/>
      <c r="K39" s="2"/>
    </row>
    <row r="40" spans="2:11" x14ac:dyDescent="0.25">
      <c r="B40" t="s">
        <v>1</v>
      </c>
      <c r="C40" s="2">
        <f>AVERAGE(Both[Newtonsoft (duration)]) - J38</f>
        <v>113.66666666666667</v>
      </c>
      <c r="D40" s="2">
        <f>AVERAGE(Both[Revenj.NET full (duration)]) - J38</f>
        <v>13.666666666666666</v>
      </c>
      <c r="E40" s="2">
        <f>AVERAGE(Both[Revenj.NET minimal (duration)]) - J38</f>
        <v>13.333333333333334</v>
      </c>
      <c r="F40" s="2">
        <f>AVERAGE(Both[Jackson (duration)]) - J39</f>
        <v>67.666666666666671</v>
      </c>
      <c r="G40" s="2">
        <f>AVERAGE(Both[DSL client Java full (duration)]) - J39</f>
        <v>5.333333333333333</v>
      </c>
      <c r="H40" s="2">
        <f>AVERAGE(Both[DSL client Java minimal (duration)]) - J39</f>
        <v>0</v>
      </c>
      <c r="I40" s="2">
        <f>AVERAGE(Both[Protobuf.NET (duration)]) - J38</f>
        <v>43</v>
      </c>
      <c r="J40" s="2"/>
      <c r="K40" s="2"/>
    </row>
    <row r="41" spans="2:11" x14ac:dyDescent="0.25">
      <c r="B41" t="s">
        <v>8</v>
      </c>
      <c r="C41" s="3">
        <f>AVERAGE(Serialization[Newtonsoft (size)])</f>
        <v>28</v>
      </c>
      <c r="D41" s="3">
        <f>AVERAGE(Serialization[Revenj.NET full (size)])</f>
        <v>40</v>
      </c>
      <c r="E41" s="3">
        <f>AVERAGE(Serialization[Revenj.NET minimal (size)])</f>
        <v>28</v>
      </c>
      <c r="F41" s="3">
        <f>AVERAGE(Serialization[Jackson (size)])</f>
        <v>40</v>
      </c>
      <c r="G41" s="3">
        <f>AVERAGE(Serialization[DSL client Java full (size)])</f>
        <v>40</v>
      </c>
      <c r="H41" s="3">
        <f>AVERAGE(Serialization[DSL client Java minimal (size)])</f>
        <v>28</v>
      </c>
      <c r="I41" s="3">
        <f>AVERAGE(Serialization[Protobuf.NET (size)])</f>
        <v>16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DEVSQ(Serialization[Newtonsoft (duration)])</f>
        <v>0.66666666666666663</v>
      </c>
      <c r="D46" s="2">
        <f>DEVSQ(Serialization[Revenj.NET full (duration)])</f>
        <v>0</v>
      </c>
      <c r="E46" s="2">
        <f>DEVSQ(Serialization[Revenj.NET minimal (duration)])</f>
        <v>0</v>
      </c>
      <c r="F46" s="2">
        <f>DEVSQ(Serialization[Jackson (duration)])</f>
        <v>0.66666666666666674</v>
      </c>
      <c r="G46" s="2">
        <f>DEVSQ(Serialization[DSL client Java full (duration)])</f>
        <v>170.66666666666669</v>
      </c>
      <c r="H46" s="2">
        <f>DEVSQ(Serialization[DSL client Java minimal (duration)])</f>
        <v>0</v>
      </c>
      <c r="I46" s="2">
        <f>DEVSQ(Serialization[Protobuf.NET (duration)])</f>
        <v>0</v>
      </c>
    </row>
    <row r="47" spans="2:11" x14ac:dyDescent="0.25">
      <c r="B47" t="s">
        <v>1</v>
      </c>
      <c r="C47" s="2">
        <f>DEVSQ(Both[Newtonsoft (duration)])</f>
        <v>16.666666666666664</v>
      </c>
      <c r="D47" s="2">
        <f>DEVSQ(Both[Revenj.NET full (duration)])</f>
        <v>0.66666666666666663</v>
      </c>
      <c r="E47" s="2">
        <f>DEVSQ(Both[Revenj.NET minimal (duration)])</f>
        <v>0.66666666666666663</v>
      </c>
      <c r="F47" s="2">
        <f>DEVSQ(Both[Jackson (duration)])</f>
        <v>160.66666666666669</v>
      </c>
      <c r="G47" s="2">
        <f>DEVSQ(Both[DSL client Java full (duration)])</f>
        <v>170.66666666666669</v>
      </c>
      <c r="H47" s="2">
        <f>DEVSQ(Both[DSL client Java minimal (duration)])</f>
        <v>0</v>
      </c>
      <c r="I47" s="2">
        <f>DEVSQ(Both[Protobuf.NET (duration)])</f>
        <v>0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81</v>
      </c>
      <c r="C52">
        <v>28</v>
      </c>
      <c r="D52">
        <v>3</v>
      </c>
      <c r="E52">
        <v>40</v>
      </c>
      <c r="F52">
        <v>3</v>
      </c>
      <c r="G52">
        <v>28</v>
      </c>
      <c r="H52">
        <v>46</v>
      </c>
      <c r="I52">
        <v>40</v>
      </c>
      <c r="J52">
        <v>0</v>
      </c>
      <c r="K52">
        <v>40</v>
      </c>
      <c r="L52">
        <v>0</v>
      </c>
      <c r="M52">
        <v>28</v>
      </c>
      <c r="N52">
        <v>39</v>
      </c>
      <c r="O52">
        <v>16</v>
      </c>
    </row>
    <row r="53" spans="2:15" x14ac:dyDescent="0.25">
      <c r="B53">
        <v>82</v>
      </c>
      <c r="C53">
        <v>28</v>
      </c>
      <c r="D53">
        <v>3</v>
      </c>
      <c r="E53">
        <v>40</v>
      </c>
      <c r="F53">
        <v>3</v>
      </c>
      <c r="G53">
        <v>28</v>
      </c>
      <c r="H53">
        <v>47</v>
      </c>
      <c r="I53">
        <v>40</v>
      </c>
      <c r="J53">
        <v>16</v>
      </c>
      <c r="K53">
        <v>40</v>
      </c>
      <c r="L53">
        <v>0</v>
      </c>
      <c r="M53">
        <v>28</v>
      </c>
      <c r="N53">
        <v>39</v>
      </c>
      <c r="O53">
        <v>16</v>
      </c>
    </row>
    <row r="54" spans="2:15" x14ac:dyDescent="0.25">
      <c r="B54">
        <v>82</v>
      </c>
      <c r="C54">
        <v>28</v>
      </c>
      <c r="D54">
        <v>3</v>
      </c>
      <c r="E54">
        <v>40</v>
      </c>
      <c r="F54">
        <v>3</v>
      </c>
      <c r="G54">
        <v>28</v>
      </c>
      <c r="H54">
        <v>47</v>
      </c>
      <c r="I54">
        <v>40</v>
      </c>
      <c r="J54">
        <v>0</v>
      </c>
      <c r="K54">
        <v>40</v>
      </c>
      <c r="L54">
        <v>0</v>
      </c>
      <c r="M54">
        <v>28</v>
      </c>
      <c r="N54">
        <v>39</v>
      </c>
      <c r="O54">
        <v>16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117</v>
      </c>
      <c r="C58">
        <v>14</v>
      </c>
      <c r="D58">
        <v>14</v>
      </c>
      <c r="E58">
        <v>78</v>
      </c>
      <c r="F58">
        <v>0</v>
      </c>
      <c r="G58">
        <v>0</v>
      </c>
      <c r="H58">
        <v>43</v>
      </c>
      <c r="I58">
        <v>0</v>
      </c>
      <c r="J58">
        <v>0</v>
      </c>
    </row>
    <row r="59" spans="2:15" x14ac:dyDescent="0.25">
      <c r="B59">
        <v>112</v>
      </c>
      <c r="C59">
        <v>14</v>
      </c>
      <c r="D59">
        <v>13</v>
      </c>
      <c r="E59">
        <v>62</v>
      </c>
      <c r="F59">
        <v>16</v>
      </c>
      <c r="G59">
        <v>0</v>
      </c>
      <c r="H59">
        <v>43</v>
      </c>
      <c r="I59">
        <v>0</v>
      </c>
      <c r="J59">
        <v>0</v>
      </c>
    </row>
    <row r="60" spans="2:15" x14ac:dyDescent="0.25">
      <c r="B60">
        <v>112</v>
      </c>
      <c r="C60">
        <v>13</v>
      </c>
      <c r="D60">
        <v>13</v>
      </c>
      <c r="E60">
        <v>63</v>
      </c>
      <c r="F60">
        <v>0</v>
      </c>
      <c r="G60">
        <v>0</v>
      </c>
      <c r="H60">
        <v>43</v>
      </c>
      <c r="I60">
        <v>0</v>
      </c>
      <c r="J60">
        <v>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49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AVERAGE(Table79[Newtonsoft (duration)]) - J38</f>
        <v>81588</v>
      </c>
      <c r="D38" s="2">
        <f>AVERAGE(Table79[Revenj.NET full (duration)]) - J38</f>
        <v>50893.666666666672</v>
      </c>
      <c r="E38" s="2">
        <f>AVERAGE(Table79[Revenj.NET minimal (duration)]) - J38</f>
        <v>49934.333333333328</v>
      </c>
      <c r="F38" s="2">
        <f>AVERAGE(Table79[Jackson (duration)]) - J39</f>
        <v>38251</v>
      </c>
      <c r="G38" s="2">
        <f>AVERAGE(Table79[DSL client Java full (duration)]) - J39</f>
        <v>34767.333333333336</v>
      </c>
      <c r="H38" s="2">
        <f>AVERAGE(Table79[DSL client Java minimal (duration)]) - J39</f>
        <v>34601</v>
      </c>
      <c r="I38" s="2">
        <f>AVERAGE(Table79[Protobuf.NET (duration)]) - J38</f>
        <v>26526</v>
      </c>
      <c r="J38" s="2">
        <f>AVERAGE(Table80[.NET (instance only)])</f>
        <v>45177</v>
      </c>
      <c r="K38" s="2">
        <f>AVERAGE(Table80[JVM (instance only)])</f>
        <v>6058</v>
      </c>
    </row>
    <row r="39" spans="2:11" x14ac:dyDescent="0.25">
      <c r="B39" t="s">
        <v>3</v>
      </c>
      <c r="C39" s="2">
        <f>C40-C38</f>
        <v>165504</v>
      </c>
      <c r="D39" s="2">
        <f t="shared" ref="D39:I39" si="0">D40-D38</f>
        <v>94793.666666666672</v>
      </c>
      <c r="E39" s="2">
        <f t="shared" si="0"/>
        <v>93140.000000000015</v>
      </c>
      <c r="F39" s="2">
        <f t="shared" ref="F39:H39" si="1">F40-F38</f>
        <v>76248</v>
      </c>
      <c r="G39" s="2">
        <f t="shared" si="1"/>
        <v>13213.333333333328</v>
      </c>
      <c r="H39" s="2">
        <f t="shared" si="1"/>
        <v>12942.666666666664</v>
      </c>
      <c r="I39" s="2">
        <f t="shared" si="0"/>
        <v>76209</v>
      </c>
      <c r="J39" s="2"/>
      <c r="K39" s="2"/>
    </row>
    <row r="40" spans="2:11" x14ac:dyDescent="0.25">
      <c r="B40" t="s">
        <v>1</v>
      </c>
      <c r="C40" s="2">
        <f>AVERAGE(Table80[Newtonsoft (duration)]) - J38</f>
        <v>247092</v>
      </c>
      <c r="D40" s="2">
        <f>AVERAGE(Table80[Revenj.NET full (duration)]) - J38</f>
        <v>145687.33333333334</v>
      </c>
      <c r="E40" s="2">
        <f>AVERAGE(Table80[Revenj.NET minimal (duration)]) - J38</f>
        <v>143074.33333333334</v>
      </c>
      <c r="F40" s="2">
        <f>AVERAGE(Table80[Jackson (duration)]) - J39</f>
        <v>114499</v>
      </c>
      <c r="G40" s="2">
        <f>AVERAGE(Table80[DSL client Java full (duration)]) - J39</f>
        <v>47980.666666666664</v>
      </c>
      <c r="H40" s="2">
        <f>AVERAGE(Table80[DSL client Java minimal (duration)]) - J39</f>
        <v>47543.666666666664</v>
      </c>
      <c r="I40" s="2">
        <f>AVERAGE(Table80[Protobuf.NET (duration)]) - J38</f>
        <v>102735</v>
      </c>
      <c r="J40" s="2"/>
      <c r="K40" s="2"/>
    </row>
    <row r="41" spans="2:11" x14ac:dyDescent="0.25">
      <c r="B41" t="s">
        <v>8</v>
      </c>
      <c r="C41" s="3">
        <f>AVERAGE(Table79[Newtonsoft (size)])</f>
        <v>9844168140</v>
      </c>
      <c r="D41" s="3">
        <f>AVERAGE(Table79[Revenj.NET full (size)])</f>
        <v>9798781115</v>
      </c>
      <c r="E41" s="3">
        <f>AVERAGE(Table79[Revenj.NET minimal (size)])</f>
        <v>9511838823</v>
      </c>
      <c r="F41" s="3">
        <f>AVERAGE(Table79[Jackson (size)])</f>
        <v>9408942918</v>
      </c>
      <c r="G41" s="3">
        <f>AVERAGE(Table79[DSL client Java full (size)])</f>
        <v>9695874191</v>
      </c>
      <c r="H41" s="3">
        <f>AVERAGE(Table79[DSL client Java minimal (size)])</f>
        <v>9403430119</v>
      </c>
      <c r="I41" s="3">
        <f>AVERAGE(Table79[Protobuf.NET (size)])</f>
        <v>7495178217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DEVSQ(Table79[Newtonsoft (duration)])</f>
        <v>1162862</v>
      </c>
      <c r="D46" s="2">
        <f>DEVSQ(Table79[Revenj.NET full (duration)])</f>
        <v>2741344.6666666665</v>
      </c>
      <c r="E46" s="2">
        <f>DEVSQ(Table79[Revenj.NET minimal (duration)])</f>
        <v>129948.66666666667</v>
      </c>
      <c r="F46" s="2">
        <f>DEVSQ(Table79[Jackson (duration)])</f>
        <v>2360018</v>
      </c>
      <c r="G46" s="2">
        <f>DEVSQ(Table79[DSL client Java full (duration)])</f>
        <v>12808.666666666668</v>
      </c>
      <c r="H46" s="2">
        <f>DEVSQ(Table79[DSL client Java minimal (duration)])</f>
        <v>71286</v>
      </c>
      <c r="I46" s="2">
        <f>DEVSQ(Table79[Protobuf.NET (duration)])</f>
        <v>425882</v>
      </c>
    </row>
    <row r="47" spans="2:11" x14ac:dyDescent="0.25">
      <c r="B47" t="s">
        <v>1</v>
      </c>
      <c r="C47" s="2">
        <f>DEVSQ(Table80[Newtonsoft (duration)])</f>
        <v>16444482</v>
      </c>
      <c r="D47" s="2">
        <f>DEVSQ(Table80[Revenj.NET full (duration)])</f>
        <v>2274844.6666666665</v>
      </c>
      <c r="E47" s="2">
        <f>DEVSQ(Table80[Revenj.NET minimal (duration)])</f>
        <v>314184.66666666669</v>
      </c>
      <c r="F47" s="2">
        <f>DEVSQ(Table80[Jackson (duration)])</f>
        <v>445736</v>
      </c>
      <c r="G47" s="2">
        <f>DEVSQ(Table80[DSL client Java full (duration)])</f>
        <v>4108.6666666666661</v>
      </c>
      <c r="H47" s="2">
        <f>DEVSQ(Table80[DSL client Java minimal (duration)])</f>
        <v>153874.66666666666</v>
      </c>
      <c r="I47" s="2">
        <f>DEVSQ(Table80[Protobuf.NET (duration)])</f>
        <v>468024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125944</v>
      </c>
      <c r="C52">
        <v>9844168140</v>
      </c>
      <c r="D52">
        <v>95634</v>
      </c>
      <c r="E52">
        <v>9798781115</v>
      </c>
      <c r="F52">
        <v>94818</v>
      </c>
      <c r="G52">
        <v>9511838823</v>
      </c>
      <c r="H52">
        <v>37736</v>
      </c>
      <c r="I52">
        <v>9408942918</v>
      </c>
      <c r="J52">
        <v>34835</v>
      </c>
      <c r="K52">
        <v>9695874191</v>
      </c>
      <c r="L52">
        <v>34492</v>
      </c>
      <c r="M52">
        <v>9403430119</v>
      </c>
      <c r="N52">
        <v>71654</v>
      </c>
      <c r="O52">
        <v>7495178217</v>
      </c>
    </row>
    <row r="53" spans="2:15" x14ac:dyDescent="0.25">
      <c r="B53">
        <v>127451</v>
      </c>
      <c r="C53">
        <v>9844168140</v>
      </c>
      <c r="D53">
        <v>97397</v>
      </c>
      <c r="E53">
        <v>9798781115</v>
      </c>
      <c r="F53">
        <v>95279</v>
      </c>
      <c r="G53">
        <v>9511838823</v>
      </c>
      <c r="H53">
        <v>37518</v>
      </c>
      <c r="I53">
        <v>9408942918</v>
      </c>
      <c r="J53">
        <v>34788</v>
      </c>
      <c r="K53">
        <v>9695874191</v>
      </c>
      <c r="L53">
        <v>34492</v>
      </c>
      <c r="M53">
        <v>9403430119</v>
      </c>
      <c r="N53">
        <v>72187</v>
      </c>
      <c r="O53">
        <v>7495178217</v>
      </c>
    </row>
    <row r="54" spans="2:15" x14ac:dyDescent="0.25">
      <c r="B54">
        <v>126900</v>
      </c>
      <c r="C54">
        <v>9844168140</v>
      </c>
      <c r="D54">
        <v>95181</v>
      </c>
      <c r="E54">
        <v>9798781115</v>
      </c>
      <c r="F54">
        <v>95237</v>
      </c>
      <c r="G54">
        <v>9511838823</v>
      </c>
      <c r="H54">
        <v>39499</v>
      </c>
      <c r="I54">
        <v>9408942918</v>
      </c>
      <c r="J54">
        <v>34679</v>
      </c>
      <c r="K54">
        <v>9695874191</v>
      </c>
      <c r="L54">
        <v>34819</v>
      </c>
      <c r="M54">
        <v>9403430119</v>
      </c>
      <c r="N54">
        <v>71268</v>
      </c>
      <c r="O54">
        <v>7495178217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290894</v>
      </c>
      <c r="C58">
        <v>189798</v>
      </c>
      <c r="D58">
        <v>188173</v>
      </c>
      <c r="E58">
        <v>114145</v>
      </c>
      <c r="F58">
        <v>48033</v>
      </c>
      <c r="G58">
        <v>47845</v>
      </c>
      <c r="H58">
        <v>147758</v>
      </c>
      <c r="I58">
        <v>44923</v>
      </c>
      <c r="J58">
        <v>6006</v>
      </c>
    </row>
    <row r="59" spans="2:15" x14ac:dyDescent="0.25">
      <c r="B59">
        <v>295565</v>
      </c>
      <c r="C59">
        <v>191931</v>
      </c>
      <c r="D59">
        <v>188681</v>
      </c>
      <c r="E59">
        <v>114317</v>
      </c>
      <c r="F59">
        <v>47955</v>
      </c>
      <c r="G59">
        <v>47487</v>
      </c>
      <c r="H59">
        <v>147524</v>
      </c>
      <c r="I59">
        <v>45320</v>
      </c>
      <c r="J59">
        <v>6068</v>
      </c>
    </row>
    <row r="60" spans="2:15" x14ac:dyDescent="0.25">
      <c r="B60">
        <v>290348</v>
      </c>
      <c r="C60">
        <v>190864</v>
      </c>
      <c r="D60">
        <v>187900</v>
      </c>
      <c r="E60">
        <v>115035</v>
      </c>
      <c r="F60">
        <v>47954</v>
      </c>
      <c r="G60">
        <v>47299</v>
      </c>
      <c r="H60">
        <v>148454</v>
      </c>
      <c r="I60">
        <v>45288</v>
      </c>
      <c r="J60">
        <v>6100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/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32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AVERAGE(Table11[Newtonsoft (duration)]) - J38</f>
        <v>96.666666666666671</v>
      </c>
      <c r="D38" s="2">
        <f>AVERAGE(Table11[Revenj.NET full (duration)]) - J38</f>
        <v>8</v>
      </c>
      <c r="E38" s="2">
        <f>AVERAGE(Table11[Revenj.NET minimal (duration)]) - J38</f>
        <v>8</v>
      </c>
      <c r="F38" s="2">
        <f>AVERAGE(Table11[Jackson (duration)]) - J39</f>
        <v>78</v>
      </c>
      <c r="G38" s="2">
        <f>AVERAGE(Table11[DSL client Java full (duration)]) - J39</f>
        <v>10.666666666666666</v>
      </c>
      <c r="H38" s="2">
        <f>AVERAGE(Table11[DSL client Java minimal (duration)]) - J39</f>
        <v>0</v>
      </c>
      <c r="I38" s="2">
        <f>AVERAGE(Table11[Protobuf.NET (duration)]) - J38</f>
        <v>61</v>
      </c>
      <c r="J38" s="2">
        <f>AVERAGE(Table12[.NET (instance only)])</f>
        <v>1</v>
      </c>
      <c r="K38" s="2">
        <f>AVERAGE(Table12[JVM (instance only)])</f>
        <v>0</v>
      </c>
    </row>
    <row r="39" spans="2:11" x14ac:dyDescent="0.25">
      <c r="B39" t="s">
        <v>3</v>
      </c>
      <c r="C39" s="2">
        <f>C40-C38</f>
        <v>43.666666666666671</v>
      </c>
      <c r="D39" s="2">
        <f t="shared" ref="D39:I39" si="0">D40-D38</f>
        <v>16</v>
      </c>
      <c r="E39" s="2">
        <f t="shared" si="0"/>
        <v>16.333333333333332</v>
      </c>
      <c r="F39" s="2">
        <f t="shared" ref="F39:H39" si="1">F40-F38</f>
        <v>57.333333333333343</v>
      </c>
      <c r="G39" s="2">
        <f t="shared" si="1"/>
        <v>0</v>
      </c>
      <c r="H39" s="2">
        <f t="shared" si="1"/>
        <v>0</v>
      </c>
      <c r="I39" s="2">
        <f t="shared" si="0"/>
        <v>7</v>
      </c>
      <c r="J39" s="2"/>
      <c r="K39" s="2"/>
    </row>
    <row r="40" spans="2:11" x14ac:dyDescent="0.25">
      <c r="B40" t="s">
        <v>1</v>
      </c>
      <c r="C40" s="2">
        <f>AVERAGE(Table12[Newtonsoft (duration)]) - J38</f>
        <v>140.33333333333334</v>
      </c>
      <c r="D40" s="2">
        <f>AVERAGE(Table12[Revenj.NET full (duration)]) - J38</f>
        <v>24</v>
      </c>
      <c r="E40" s="2">
        <f>AVERAGE(Table12[Revenj.NET minimal (duration)]) - J38</f>
        <v>24.333333333333332</v>
      </c>
      <c r="F40" s="2">
        <f>AVERAGE(Table12[Jackson (duration)]) - J39</f>
        <v>135.33333333333334</v>
      </c>
      <c r="G40" s="2">
        <f>AVERAGE(Table12[DSL client Java full (duration)]) - J39</f>
        <v>10.666666666666666</v>
      </c>
      <c r="H40" s="2">
        <f>AVERAGE(Table12[DSL client Java minimal (duration)]) - J39</f>
        <v>0</v>
      </c>
      <c r="I40" s="2">
        <f>AVERAGE(Table12[Protobuf.NET (duration)]) - J38</f>
        <v>68</v>
      </c>
      <c r="J40" s="2"/>
      <c r="K40" s="2"/>
    </row>
    <row r="41" spans="2:11" x14ac:dyDescent="0.25">
      <c r="B41" t="s">
        <v>8</v>
      </c>
      <c r="C41" s="3">
        <f>AVERAGE(Table11[Newtonsoft (size)])</f>
        <v>110</v>
      </c>
      <c r="D41" s="3">
        <f>AVERAGE(Table11[Revenj.NET full (size)])</f>
        <v>140</v>
      </c>
      <c r="E41" s="3">
        <f>AVERAGE(Table11[Revenj.NET minimal (size)])</f>
        <v>74</v>
      </c>
      <c r="F41" s="3">
        <f>AVERAGE(Table11[Jackson (size)])</f>
        <v>73</v>
      </c>
      <c r="G41" s="3">
        <f>AVERAGE(Table11[DSL client Java full (size)])</f>
        <v>140</v>
      </c>
      <c r="H41" s="3">
        <f>AVERAGE(Table11[DSL client Java minimal (size)])</f>
        <v>53</v>
      </c>
      <c r="I41" s="3">
        <f>AVERAGE(Table11[Protobuf.NET (size)])</f>
        <v>37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DEVSQ(Table11[Newtonsoft (duration)])</f>
        <v>2.666666666666667</v>
      </c>
      <c r="D46" s="2">
        <f>DEVSQ(Table11[Revenj.NET full (duration)])</f>
        <v>0</v>
      </c>
      <c r="E46" s="2">
        <f>DEVSQ(Table11[Revenj.NET minimal (duration)])</f>
        <v>0</v>
      </c>
      <c r="F46" s="2">
        <f>DEVSQ(Table11[Jackson (duration)])</f>
        <v>0</v>
      </c>
      <c r="G46" s="2">
        <f>DEVSQ(Table11[DSL client Java full (duration)])</f>
        <v>170.66666666666669</v>
      </c>
      <c r="H46" s="2">
        <f>DEVSQ(Table11[DSL client Java minimal (duration)])</f>
        <v>0</v>
      </c>
      <c r="I46" s="2">
        <f>DEVSQ(Table11[Protobuf.NET (duration)])</f>
        <v>0</v>
      </c>
    </row>
    <row r="47" spans="2:11" x14ac:dyDescent="0.25">
      <c r="B47" t="s">
        <v>1</v>
      </c>
      <c r="C47" s="2">
        <f>DEVSQ(Table12[Newtonsoft (duration)])</f>
        <v>0.66666666666666674</v>
      </c>
      <c r="D47" s="2">
        <f>DEVSQ(Table12[Revenj.NET full (duration)])</f>
        <v>0</v>
      </c>
      <c r="E47" s="2">
        <f>DEVSQ(Table12[Revenj.NET minimal (duration)])</f>
        <v>0.66666666666666674</v>
      </c>
      <c r="F47" s="2">
        <f>DEVSQ(Table12[Jackson (duration)])</f>
        <v>160.66666666666666</v>
      </c>
      <c r="G47" s="2">
        <f>DEVSQ(Table12[DSL client Java full (duration)])</f>
        <v>170.66666666666669</v>
      </c>
      <c r="H47" s="2">
        <f>DEVSQ(Table12[DSL client Java minimal (duration)])</f>
        <v>0</v>
      </c>
      <c r="I47" s="2">
        <f>DEVSQ(Table12[Protobuf.NET (duration)])</f>
        <v>0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97</v>
      </c>
      <c r="C52">
        <v>110</v>
      </c>
      <c r="D52">
        <v>9</v>
      </c>
      <c r="E52">
        <v>140</v>
      </c>
      <c r="F52">
        <v>9</v>
      </c>
      <c r="G52">
        <v>74</v>
      </c>
      <c r="H52">
        <v>78</v>
      </c>
      <c r="I52">
        <v>73</v>
      </c>
      <c r="J52">
        <v>16</v>
      </c>
      <c r="K52">
        <v>140</v>
      </c>
      <c r="L52">
        <v>0</v>
      </c>
      <c r="M52">
        <v>53</v>
      </c>
      <c r="N52">
        <v>62</v>
      </c>
      <c r="O52">
        <v>37</v>
      </c>
    </row>
    <row r="53" spans="2:15" x14ac:dyDescent="0.25">
      <c r="B53">
        <v>97</v>
      </c>
      <c r="C53">
        <v>110</v>
      </c>
      <c r="D53">
        <v>9</v>
      </c>
      <c r="E53">
        <v>140</v>
      </c>
      <c r="F53">
        <v>9</v>
      </c>
      <c r="G53">
        <v>74</v>
      </c>
      <c r="H53">
        <v>78</v>
      </c>
      <c r="I53">
        <v>73</v>
      </c>
      <c r="J53">
        <v>0</v>
      </c>
      <c r="K53">
        <v>140</v>
      </c>
      <c r="L53">
        <v>0</v>
      </c>
      <c r="M53">
        <v>53</v>
      </c>
      <c r="N53">
        <v>62</v>
      </c>
      <c r="O53">
        <v>37</v>
      </c>
    </row>
    <row r="54" spans="2:15" x14ac:dyDescent="0.25">
      <c r="B54">
        <v>99</v>
      </c>
      <c r="C54">
        <v>110</v>
      </c>
      <c r="D54">
        <v>9</v>
      </c>
      <c r="E54">
        <v>140</v>
      </c>
      <c r="F54">
        <v>9</v>
      </c>
      <c r="G54">
        <v>74</v>
      </c>
      <c r="H54">
        <v>78</v>
      </c>
      <c r="I54">
        <v>73</v>
      </c>
      <c r="J54">
        <v>16</v>
      </c>
      <c r="K54">
        <v>140</v>
      </c>
      <c r="L54">
        <v>0</v>
      </c>
      <c r="M54">
        <v>53</v>
      </c>
      <c r="N54">
        <v>62</v>
      </c>
      <c r="O54">
        <v>37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142</v>
      </c>
      <c r="C58">
        <v>25</v>
      </c>
      <c r="D58">
        <v>26</v>
      </c>
      <c r="E58">
        <v>140</v>
      </c>
      <c r="F58">
        <v>16</v>
      </c>
      <c r="G58">
        <v>0</v>
      </c>
      <c r="H58">
        <v>69</v>
      </c>
      <c r="I58">
        <v>1</v>
      </c>
      <c r="J58">
        <v>0</v>
      </c>
    </row>
    <row r="59" spans="2:15" x14ac:dyDescent="0.25">
      <c r="B59">
        <v>141</v>
      </c>
      <c r="C59">
        <v>25</v>
      </c>
      <c r="D59">
        <v>25</v>
      </c>
      <c r="E59">
        <v>141</v>
      </c>
      <c r="F59">
        <v>16</v>
      </c>
      <c r="G59">
        <v>0</v>
      </c>
      <c r="H59">
        <v>69</v>
      </c>
      <c r="I59">
        <v>1</v>
      </c>
      <c r="J59">
        <v>0</v>
      </c>
    </row>
    <row r="60" spans="2:15" x14ac:dyDescent="0.25">
      <c r="B60">
        <v>141</v>
      </c>
      <c r="C60">
        <v>25</v>
      </c>
      <c r="D60">
        <v>25</v>
      </c>
      <c r="E60">
        <v>125</v>
      </c>
      <c r="F60">
        <v>0</v>
      </c>
      <c r="G60">
        <v>0</v>
      </c>
      <c r="H60">
        <v>69</v>
      </c>
      <c r="I60">
        <v>1</v>
      </c>
      <c r="J60">
        <v>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33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AVERAGE(Table15[Newtonsoft (duration)]) - J38</f>
        <v>171.66666666666666</v>
      </c>
      <c r="D38" s="2">
        <f>AVERAGE(Table15[Revenj.NET full (duration)]) - J38</f>
        <v>49</v>
      </c>
      <c r="E38" s="2">
        <f>AVERAGE(Table15[Revenj.NET minimal (duration)]) - J38</f>
        <v>44.666666666666664</v>
      </c>
      <c r="F38" s="2">
        <f>AVERAGE(Table15[Jackson (duration)]) - J39</f>
        <v>223.66666666666666</v>
      </c>
      <c r="G38" s="2">
        <f>AVERAGE(Table15[DSL client Java full (duration)]) - J39</f>
        <v>62</v>
      </c>
      <c r="H38" s="2">
        <f>AVERAGE(Table15[DSL client Java minimal (duration)]) - J39</f>
        <v>52</v>
      </c>
      <c r="I38" s="2">
        <f>AVERAGE(Table15[Protobuf.NET (duration)]) - J38</f>
        <v>72.333333333333343</v>
      </c>
      <c r="J38" s="2">
        <f>AVERAGE(Table16[.NET (instance only)])</f>
        <v>14.333333333333334</v>
      </c>
      <c r="K38" s="2">
        <f>AVERAGE(Table16[JVM (instance only)])</f>
        <v>31</v>
      </c>
    </row>
    <row r="39" spans="2:11" x14ac:dyDescent="0.25">
      <c r="B39" t="s">
        <v>3</v>
      </c>
      <c r="C39" s="2">
        <f>C40-C38</f>
        <v>385.66666666666663</v>
      </c>
      <c r="D39" s="2">
        <f t="shared" ref="D39:I39" si="0">D40-D38</f>
        <v>60.666666666666671</v>
      </c>
      <c r="E39" s="2">
        <f t="shared" si="0"/>
        <v>67</v>
      </c>
      <c r="F39" s="2">
        <f t="shared" ref="F39:H39" si="1">F40-F38</f>
        <v>197.66666666666666</v>
      </c>
      <c r="G39" s="2">
        <f t="shared" si="1"/>
        <v>47.333333333333329</v>
      </c>
      <c r="H39" s="2">
        <f t="shared" si="1"/>
        <v>57.333333333333329</v>
      </c>
      <c r="I39" s="2">
        <f t="shared" si="0"/>
        <v>65.333333333333314</v>
      </c>
      <c r="J39" s="2"/>
      <c r="K39" s="2"/>
    </row>
    <row r="40" spans="2:11" x14ac:dyDescent="0.25">
      <c r="B40" t="s">
        <v>1</v>
      </c>
      <c r="C40" s="2">
        <f>AVERAGE(Table16[Newtonsoft (duration)]) - J38</f>
        <v>557.33333333333326</v>
      </c>
      <c r="D40" s="2">
        <f>AVERAGE(Table16[Revenj.NET full (duration)]) - J38</f>
        <v>109.66666666666667</v>
      </c>
      <c r="E40" s="2">
        <f>AVERAGE(Table16[Revenj.NET minimal (duration)]) - J38</f>
        <v>111.66666666666667</v>
      </c>
      <c r="F40" s="2">
        <f>AVERAGE(Table16[Jackson (duration)]) - J39</f>
        <v>421.33333333333331</v>
      </c>
      <c r="G40" s="2">
        <f>AVERAGE(Table16[DSL client Java full (duration)]) - J39</f>
        <v>109.33333333333333</v>
      </c>
      <c r="H40" s="2">
        <f>AVERAGE(Table16[DSL client Java minimal (duration)]) - J39</f>
        <v>109.33333333333333</v>
      </c>
      <c r="I40" s="2">
        <f>AVERAGE(Table16[Protobuf.NET (duration)]) - J38</f>
        <v>137.66666666666666</v>
      </c>
      <c r="J40" s="2"/>
      <c r="K40" s="2"/>
    </row>
    <row r="41" spans="2:11" x14ac:dyDescent="0.25">
      <c r="B41" t="s">
        <v>8</v>
      </c>
      <c r="C41" s="3">
        <f>AVERAGE(Table15[Newtonsoft (size)])</f>
        <v>4777768</v>
      </c>
      <c r="D41" s="3">
        <f>AVERAGE(Table15[Revenj.NET full (size)])</f>
        <v>4777780</v>
      </c>
      <c r="E41" s="3">
        <f>AVERAGE(Table15[Revenj.NET minimal (size)])</f>
        <v>4777768</v>
      </c>
      <c r="F41" s="3">
        <f>AVERAGE(Table15[Jackson (size)])</f>
        <v>4777780</v>
      </c>
      <c r="G41" s="3">
        <f>AVERAGE(Table15[DSL client Java full (size)])</f>
        <v>4777780</v>
      </c>
      <c r="H41" s="3">
        <f>AVERAGE(Table15[DSL client Java minimal (size)])</f>
        <v>4777768</v>
      </c>
      <c r="I41" s="3">
        <f>AVERAGE(Table15[Protobuf.NET (size)])</f>
        <v>2372376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DEVSQ(Table15[Newtonsoft (duration)])</f>
        <v>6</v>
      </c>
      <c r="D46" s="2">
        <f>DEVSQ(Table15[Revenj.NET full (duration)])</f>
        <v>140.66666666666669</v>
      </c>
      <c r="E46" s="2">
        <f>DEVSQ(Table15[Revenj.NET minimal (duration)])</f>
        <v>2</v>
      </c>
      <c r="F46" s="2">
        <f>DEVSQ(Table15[Jackson (duration)])</f>
        <v>1152.6666666666667</v>
      </c>
      <c r="G46" s="2">
        <f>DEVSQ(Table15[DSL client Java full (duration)])</f>
        <v>0</v>
      </c>
      <c r="H46" s="2">
        <f>DEVSQ(Table15[DSL client Java minimal (duration)])</f>
        <v>150</v>
      </c>
      <c r="I46" s="2">
        <f>DEVSQ(Table15[Protobuf.NET (duration)])</f>
        <v>0.66666666666666663</v>
      </c>
    </row>
    <row r="47" spans="2:11" x14ac:dyDescent="0.25">
      <c r="B47" t="s">
        <v>1</v>
      </c>
      <c r="C47" s="2">
        <f>DEVSQ(Table16[Newtonsoft (duration)])</f>
        <v>1020.6666666666665</v>
      </c>
      <c r="D47" s="2">
        <f>DEVSQ(Table16[Revenj.NET full (duration)])</f>
        <v>26</v>
      </c>
      <c r="E47" s="2">
        <f>DEVSQ(Table16[Revenj.NET minimal (duration)])</f>
        <v>14</v>
      </c>
      <c r="F47" s="2">
        <f>DEVSQ(Table16[Jackson (duration)])</f>
        <v>480.66666666666663</v>
      </c>
      <c r="G47" s="2">
        <f>DEVSQ(Table16[DSL client Java full (duration)])</f>
        <v>0.66666666666666663</v>
      </c>
      <c r="H47" s="2">
        <f>DEVSQ(Table16[DSL client Java minimal (duration)])</f>
        <v>0.66666666666666663</v>
      </c>
      <c r="I47" s="2">
        <f>DEVSQ(Table16[Protobuf.NET (duration)])</f>
        <v>6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185</v>
      </c>
      <c r="C52">
        <v>4777768</v>
      </c>
      <c r="D52">
        <v>73</v>
      </c>
      <c r="E52">
        <v>4777780</v>
      </c>
      <c r="F52">
        <v>59</v>
      </c>
      <c r="G52">
        <v>4777768</v>
      </c>
      <c r="H52">
        <v>203</v>
      </c>
      <c r="I52">
        <v>4777780</v>
      </c>
      <c r="J52">
        <v>62</v>
      </c>
      <c r="K52">
        <v>4777780</v>
      </c>
      <c r="L52">
        <v>47</v>
      </c>
      <c r="M52">
        <v>4777768</v>
      </c>
      <c r="N52">
        <v>87</v>
      </c>
      <c r="O52">
        <v>2372376</v>
      </c>
    </row>
    <row r="53" spans="2:15" x14ac:dyDescent="0.25">
      <c r="B53">
        <v>185</v>
      </c>
      <c r="C53">
        <v>4777768</v>
      </c>
      <c r="D53">
        <v>59</v>
      </c>
      <c r="E53">
        <v>4777780</v>
      </c>
      <c r="F53">
        <v>60</v>
      </c>
      <c r="G53">
        <v>4777768</v>
      </c>
      <c r="H53">
        <v>250</v>
      </c>
      <c r="I53">
        <v>4777780</v>
      </c>
      <c r="J53">
        <v>62</v>
      </c>
      <c r="K53">
        <v>4777780</v>
      </c>
      <c r="L53">
        <v>62</v>
      </c>
      <c r="M53">
        <v>4777768</v>
      </c>
      <c r="N53">
        <v>87</v>
      </c>
      <c r="O53">
        <v>2372376</v>
      </c>
    </row>
    <row r="54" spans="2:15" x14ac:dyDescent="0.25">
      <c r="B54">
        <v>188</v>
      </c>
      <c r="C54">
        <v>4777768</v>
      </c>
      <c r="D54">
        <v>58</v>
      </c>
      <c r="E54">
        <v>4777780</v>
      </c>
      <c r="F54">
        <v>58</v>
      </c>
      <c r="G54">
        <v>4777768</v>
      </c>
      <c r="H54">
        <v>218</v>
      </c>
      <c r="I54">
        <v>4777780</v>
      </c>
      <c r="J54">
        <v>62</v>
      </c>
      <c r="K54">
        <v>4777780</v>
      </c>
      <c r="L54">
        <v>47</v>
      </c>
      <c r="M54">
        <v>4777768</v>
      </c>
      <c r="N54">
        <v>86</v>
      </c>
      <c r="O54">
        <v>2372376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548</v>
      </c>
      <c r="C58">
        <v>121</v>
      </c>
      <c r="D58">
        <v>127</v>
      </c>
      <c r="E58">
        <v>437</v>
      </c>
      <c r="F58">
        <v>109</v>
      </c>
      <c r="G58">
        <v>109</v>
      </c>
      <c r="H58">
        <v>151</v>
      </c>
      <c r="I58">
        <v>15</v>
      </c>
      <c r="J58">
        <v>31</v>
      </c>
    </row>
    <row r="59" spans="2:15" x14ac:dyDescent="0.25">
      <c r="B59">
        <v>574</v>
      </c>
      <c r="C59">
        <v>128</v>
      </c>
      <c r="D59">
        <v>128</v>
      </c>
      <c r="E59">
        <v>406</v>
      </c>
      <c r="F59">
        <v>109</v>
      </c>
      <c r="G59">
        <v>109</v>
      </c>
      <c r="H59">
        <v>151</v>
      </c>
      <c r="I59">
        <v>14</v>
      </c>
      <c r="J59">
        <v>31</v>
      </c>
    </row>
    <row r="60" spans="2:15" x14ac:dyDescent="0.25">
      <c r="B60">
        <v>593</v>
      </c>
      <c r="C60">
        <v>123</v>
      </c>
      <c r="D60">
        <v>123</v>
      </c>
      <c r="E60">
        <v>421</v>
      </c>
      <c r="F60">
        <v>110</v>
      </c>
      <c r="G60">
        <v>110</v>
      </c>
      <c r="H60">
        <v>154</v>
      </c>
      <c r="I60">
        <v>14</v>
      </c>
      <c r="J60">
        <v>31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34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AVERAGE(Table19[Newtonsoft (duration)]) - J38</f>
        <v>1025.6666666666667</v>
      </c>
      <c r="D38" s="2">
        <f>AVERAGE(Table19[Revenj.NET full (duration)]) - J38</f>
        <v>441.33333333333337</v>
      </c>
      <c r="E38" s="2">
        <f>AVERAGE(Table19[Revenj.NET minimal (duration)]) - J38</f>
        <v>448</v>
      </c>
      <c r="F38" s="2">
        <f>AVERAGE(Table19[Jackson (duration)]) - J39</f>
        <v>499</v>
      </c>
      <c r="G38" s="2">
        <f>AVERAGE(Table19[DSL client Java full (duration)]) - J39</f>
        <v>208</v>
      </c>
      <c r="H38" s="2">
        <f>AVERAGE(Table19[DSL client Java minimal (duration)]) - J39</f>
        <v>213</v>
      </c>
      <c r="I38" s="2">
        <f>AVERAGE(Table19[Protobuf.NET (duration)]) - J38</f>
        <v>365.66666666666669</v>
      </c>
      <c r="J38" s="2">
        <f>AVERAGE(Table20[.NET (instance only)])</f>
        <v>131</v>
      </c>
      <c r="K38" s="2">
        <f>AVERAGE(Table20[JVM (instance only)])</f>
        <v>73</v>
      </c>
    </row>
    <row r="39" spans="2:11" x14ac:dyDescent="0.25">
      <c r="B39" t="s">
        <v>3</v>
      </c>
      <c r="C39" s="2">
        <f>C40-C38</f>
        <v>3317.333333333333</v>
      </c>
      <c r="D39" s="2">
        <f t="shared" ref="D39:I39" si="0">D40-D38</f>
        <v>582.99999999999989</v>
      </c>
      <c r="E39" s="2">
        <f t="shared" si="0"/>
        <v>518</v>
      </c>
      <c r="F39" s="2">
        <f t="shared" ref="F39:H39" si="1">F40-F38</f>
        <v>541</v>
      </c>
      <c r="G39" s="2">
        <f t="shared" si="1"/>
        <v>171.66666666666669</v>
      </c>
      <c r="H39" s="2">
        <f t="shared" si="1"/>
        <v>171.66666666666669</v>
      </c>
      <c r="I39" s="2">
        <f t="shared" si="0"/>
        <v>617</v>
      </c>
      <c r="J39" s="2"/>
      <c r="K39" s="2"/>
    </row>
    <row r="40" spans="2:11" x14ac:dyDescent="0.25">
      <c r="B40" t="s">
        <v>1</v>
      </c>
      <c r="C40" s="2">
        <f>AVERAGE(Table20[Newtonsoft (duration)]) - J38</f>
        <v>4343</v>
      </c>
      <c r="D40" s="2">
        <f>AVERAGE(Table20[Revenj.NET full (duration)]) - J38</f>
        <v>1024.3333333333333</v>
      </c>
      <c r="E40" s="2">
        <f>AVERAGE(Table20[Revenj.NET minimal (duration)]) - J38</f>
        <v>966</v>
      </c>
      <c r="F40" s="2">
        <f>AVERAGE(Table20[Jackson (duration)]) - J39</f>
        <v>1040</v>
      </c>
      <c r="G40" s="2">
        <f>AVERAGE(Table20[DSL client Java full (duration)]) - J39</f>
        <v>379.66666666666669</v>
      </c>
      <c r="H40" s="2">
        <f>AVERAGE(Table20[DSL client Java minimal (duration)]) - J39</f>
        <v>384.66666666666669</v>
      </c>
      <c r="I40" s="2">
        <f>AVERAGE(Table20[Protobuf.NET (duration)]) - J38</f>
        <v>982.66666666666674</v>
      </c>
      <c r="J40" s="2"/>
      <c r="K40" s="2"/>
    </row>
    <row r="41" spans="2:11" x14ac:dyDescent="0.25">
      <c r="B41" t="s">
        <v>8</v>
      </c>
      <c r="C41" s="3">
        <f>AVERAGE(Table19[Newtonsoft (size)])</f>
        <v>49777768</v>
      </c>
      <c r="D41" s="3">
        <f>AVERAGE(Table19[Revenj.NET full (size)])</f>
        <v>49777780</v>
      </c>
      <c r="E41" s="3">
        <f>AVERAGE(Table19[Revenj.NET minimal (size)])</f>
        <v>49777768</v>
      </c>
      <c r="F41" s="3">
        <f>AVERAGE(Table19[Jackson (size)])</f>
        <v>49777780</v>
      </c>
      <c r="G41" s="3">
        <f>AVERAGE(Table19[DSL client Java full (size)])</f>
        <v>49777780</v>
      </c>
      <c r="H41" s="3">
        <f>AVERAGE(Table19[DSL client Java minimal (size)])</f>
        <v>49777768</v>
      </c>
      <c r="I41" s="3">
        <f>AVERAGE(Table19[Protobuf.NET (size)])</f>
        <v>24872376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DEVSQ(Table19[Newtonsoft (duration)])</f>
        <v>5364.666666666667</v>
      </c>
      <c r="D46" s="2">
        <f>DEVSQ(Table19[Revenj.NET full (duration)])</f>
        <v>3554.6666666666665</v>
      </c>
      <c r="E46" s="2">
        <f>DEVSQ(Table19[Revenj.NET minimal (duration)])</f>
        <v>4238</v>
      </c>
      <c r="F46" s="2">
        <f>DEVSQ(Table19[Jackson (duration)])</f>
        <v>450</v>
      </c>
      <c r="G46" s="2">
        <f>DEVSQ(Table19[DSL client Java full (duration)])</f>
        <v>150</v>
      </c>
      <c r="H46" s="2">
        <f>DEVSQ(Table19[DSL client Java minimal (duration)])</f>
        <v>150</v>
      </c>
      <c r="I46" s="2">
        <f>DEVSQ(Table19[Protobuf.NET (duration)])</f>
        <v>4.6666666666666661</v>
      </c>
    </row>
    <row r="47" spans="2:11" x14ac:dyDescent="0.25">
      <c r="B47" t="s">
        <v>1</v>
      </c>
      <c r="C47" s="2">
        <f>DEVSQ(Table20[Newtonsoft (duration)])</f>
        <v>49928</v>
      </c>
      <c r="D47" s="2">
        <f>DEVSQ(Table20[Revenj.NET full (duration)])</f>
        <v>13772.666666666666</v>
      </c>
      <c r="E47" s="2">
        <f>DEVSQ(Table20[Revenj.NET minimal (duration)])</f>
        <v>488</v>
      </c>
      <c r="F47" s="2">
        <f>DEVSQ(Table20[Jackson (duration)])</f>
        <v>4568</v>
      </c>
      <c r="G47" s="2">
        <f>DEVSQ(Table20[DSL client Java full (duration)])</f>
        <v>160.66666666666669</v>
      </c>
      <c r="H47" s="2">
        <f>DEVSQ(Table20[DSL client Java minimal (duration)])</f>
        <v>170.66666666666669</v>
      </c>
      <c r="I47" s="2">
        <f>DEVSQ(Table20[Protobuf.NET (duration)])</f>
        <v>994.66666666666674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1097</v>
      </c>
      <c r="C52">
        <v>49777768</v>
      </c>
      <c r="D52">
        <v>547</v>
      </c>
      <c r="E52">
        <v>49777780</v>
      </c>
      <c r="F52">
        <v>549</v>
      </c>
      <c r="G52">
        <v>49777768</v>
      </c>
      <c r="H52">
        <v>484</v>
      </c>
      <c r="I52">
        <v>49777780</v>
      </c>
      <c r="J52">
        <v>203</v>
      </c>
      <c r="K52">
        <v>49777780</v>
      </c>
      <c r="L52">
        <v>218</v>
      </c>
      <c r="M52">
        <v>49777768</v>
      </c>
      <c r="N52">
        <v>495</v>
      </c>
      <c r="O52">
        <v>24872376</v>
      </c>
    </row>
    <row r="53" spans="2:15" x14ac:dyDescent="0.25">
      <c r="B53">
        <v>1190</v>
      </c>
      <c r="C53">
        <v>49777768</v>
      </c>
      <c r="D53">
        <v>549</v>
      </c>
      <c r="E53">
        <v>49777780</v>
      </c>
      <c r="F53">
        <v>632</v>
      </c>
      <c r="G53">
        <v>49777768</v>
      </c>
      <c r="H53">
        <v>514</v>
      </c>
      <c r="I53">
        <v>49777780</v>
      </c>
      <c r="J53">
        <v>203</v>
      </c>
      <c r="K53">
        <v>49777780</v>
      </c>
      <c r="L53">
        <v>203</v>
      </c>
      <c r="M53">
        <v>49777768</v>
      </c>
      <c r="N53">
        <v>497</v>
      </c>
      <c r="O53">
        <v>24872376</v>
      </c>
    </row>
    <row r="54" spans="2:15" x14ac:dyDescent="0.25">
      <c r="B54">
        <v>1183</v>
      </c>
      <c r="C54">
        <v>49777768</v>
      </c>
      <c r="D54">
        <v>621</v>
      </c>
      <c r="E54">
        <v>49777780</v>
      </c>
      <c r="F54">
        <v>556</v>
      </c>
      <c r="G54">
        <v>49777768</v>
      </c>
      <c r="H54">
        <v>499</v>
      </c>
      <c r="I54">
        <v>49777780</v>
      </c>
      <c r="J54">
        <v>218</v>
      </c>
      <c r="K54">
        <v>49777780</v>
      </c>
      <c r="L54">
        <v>218</v>
      </c>
      <c r="M54">
        <v>49777768</v>
      </c>
      <c r="N54">
        <v>498</v>
      </c>
      <c r="O54">
        <v>24872376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4656</v>
      </c>
      <c r="C58">
        <v>1249</v>
      </c>
      <c r="D58">
        <v>1089</v>
      </c>
      <c r="E58">
        <v>1030</v>
      </c>
      <c r="F58">
        <v>390</v>
      </c>
      <c r="G58">
        <v>390</v>
      </c>
      <c r="H58">
        <v>1097</v>
      </c>
      <c r="I58">
        <v>130</v>
      </c>
      <c r="J58">
        <v>78</v>
      </c>
    </row>
    <row r="59" spans="2:15" x14ac:dyDescent="0.25">
      <c r="B59">
        <v>4394</v>
      </c>
      <c r="C59">
        <v>1126</v>
      </c>
      <c r="D59">
        <v>1087</v>
      </c>
      <c r="E59">
        <v>1092</v>
      </c>
      <c r="F59">
        <v>374</v>
      </c>
      <c r="G59">
        <v>374</v>
      </c>
      <c r="H59">
        <v>1139</v>
      </c>
      <c r="I59">
        <v>132</v>
      </c>
      <c r="J59">
        <v>63</v>
      </c>
    </row>
    <row r="60" spans="2:15" x14ac:dyDescent="0.25">
      <c r="B60">
        <v>4372</v>
      </c>
      <c r="C60">
        <v>1091</v>
      </c>
      <c r="D60">
        <v>1115</v>
      </c>
      <c r="E60">
        <v>998</v>
      </c>
      <c r="F60">
        <v>375</v>
      </c>
      <c r="G60">
        <v>390</v>
      </c>
      <c r="H60">
        <v>1105</v>
      </c>
      <c r="I60">
        <v>131</v>
      </c>
      <c r="J60">
        <v>78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35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AVERAGE(Table23[Newtonsoft (duration)]) - J38</f>
        <v>9545.3333333333339</v>
      </c>
      <c r="D38" s="2">
        <f>AVERAGE(Table23[Revenj.NET full (duration)]) - J38</f>
        <v>4174.666666666667</v>
      </c>
      <c r="E38" s="2">
        <f>AVERAGE(Table23[Revenj.NET minimal (duration)]) - J38</f>
        <v>4631.333333333333</v>
      </c>
      <c r="F38" s="2">
        <f>AVERAGE(Table23[Jackson (duration)]) - J39</f>
        <v>3281.3333333333335</v>
      </c>
      <c r="G38" s="2">
        <f>AVERAGE(Table23[DSL client Java full (duration)]) - J39</f>
        <v>1627.6666666666667</v>
      </c>
      <c r="H38" s="2">
        <f>AVERAGE(Table23[DSL client Java minimal (duration)]) - J39</f>
        <v>1612</v>
      </c>
      <c r="I38" s="2">
        <f>AVERAGE(Table23[Protobuf.NET (duration)]) - J38</f>
        <v>3253.666666666667</v>
      </c>
      <c r="J38" s="2">
        <f>AVERAGE(Table24[.NET (instance only)])</f>
        <v>1407</v>
      </c>
      <c r="K38" s="2">
        <f>AVERAGE(Table24[JVM (instance only)])</f>
        <v>426.66666666666669</v>
      </c>
    </row>
    <row r="39" spans="2:11" x14ac:dyDescent="0.25">
      <c r="B39" t="s">
        <v>3</v>
      </c>
      <c r="C39" s="2">
        <f>C40-C38</f>
        <v>32012.666666666664</v>
      </c>
      <c r="D39" s="2">
        <f t="shared" ref="D39:I39" si="0">D40-D38</f>
        <v>6514.9999999999991</v>
      </c>
      <c r="E39" s="2">
        <f t="shared" si="0"/>
        <v>5054.0000000000009</v>
      </c>
      <c r="F39" s="2">
        <f t="shared" ref="F39:H39" si="1">F40-F38</f>
        <v>3421.6666666666665</v>
      </c>
      <c r="G39" s="2">
        <f t="shared" si="1"/>
        <v>1419.6666666666667</v>
      </c>
      <c r="H39" s="2">
        <f t="shared" si="1"/>
        <v>1466.3333333333335</v>
      </c>
      <c r="I39" s="2">
        <f t="shared" si="0"/>
        <v>6038.333333333333</v>
      </c>
      <c r="J39" s="2"/>
      <c r="K39" s="2"/>
    </row>
    <row r="40" spans="2:11" x14ac:dyDescent="0.25">
      <c r="B40" t="s">
        <v>1</v>
      </c>
      <c r="C40" s="2">
        <f>AVERAGE(Table24[Newtonsoft (duration)]) - J38</f>
        <v>41558</v>
      </c>
      <c r="D40" s="2">
        <f>AVERAGE(Table24[Revenj.NET full (duration)]) - J38</f>
        <v>10689.666666666666</v>
      </c>
      <c r="E40" s="2">
        <f>AVERAGE(Table24[Revenj.NET minimal (duration)]) - J38</f>
        <v>9685.3333333333339</v>
      </c>
      <c r="F40" s="2">
        <f>AVERAGE(Table24[Jackson (duration)]) - J39</f>
        <v>6703</v>
      </c>
      <c r="G40" s="2">
        <f>AVERAGE(Table24[DSL client Java full (duration)]) - J39</f>
        <v>3047.3333333333335</v>
      </c>
      <c r="H40" s="2">
        <f>AVERAGE(Table24[DSL client Java minimal (duration)]) - J39</f>
        <v>3078.3333333333335</v>
      </c>
      <c r="I40" s="2">
        <f>AVERAGE(Table24[Protobuf.NET (duration)]) - J38</f>
        <v>9292</v>
      </c>
      <c r="J40" s="2"/>
      <c r="K40" s="2"/>
    </row>
    <row r="41" spans="2:11" x14ac:dyDescent="0.25">
      <c r="B41" t="s">
        <v>8</v>
      </c>
      <c r="C41" s="3">
        <f>AVERAGE(Table23[Newtonsoft (size)])</f>
        <v>517777768</v>
      </c>
      <c r="D41" s="3">
        <f>AVERAGE(Table23[Revenj.NET full (size)])</f>
        <v>517777780</v>
      </c>
      <c r="E41" s="3">
        <f>AVERAGE(Table23[Revenj.NET minimal (size)])</f>
        <v>517777768</v>
      </c>
      <c r="F41" s="3">
        <f>AVERAGE(Table23[Jackson (size)])</f>
        <v>517777780</v>
      </c>
      <c r="G41" s="3">
        <f>AVERAGE(Table23[DSL client Java full (size)])</f>
        <v>517777780</v>
      </c>
      <c r="H41" s="3">
        <f>AVERAGE(Table23[DSL client Java minimal (size)])</f>
        <v>517777768</v>
      </c>
      <c r="I41" s="3">
        <f>AVERAGE(Table23[Protobuf.NET (size)])</f>
        <v>266775224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DEVSQ(Table23[Newtonsoft (duration)])</f>
        <v>1791042.6666666665</v>
      </c>
      <c r="D46" s="2">
        <f>DEVSQ(Table23[Revenj.NET full (duration)])</f>
        <v>200.66666666666669</v>
      </c>
      <c r="E46" s="2">
        <f>DEVSQ(Table23[Revenj.NET minimal (duration)])</f>
        <v>542372.66666666674</v>
      </c>
      <c r="F46" s="2">
        <f>DEVSQ(Table23[Jackson (duration)])</f>
        <v>49616.666666666672</v>
      </c>
      <c r="G46" s="2">
        <f>DEVSQ(Table23[DSL client Java full (duration)])</f>
        <v>640.66666666666674</v>
      </c>
      <c r="H46" s="2">
        <f>DEVSQ(Table23[DSL client Java minimal (duration)])</f>
        <v>662</v>
      </c>
      <c r="I46" s="2">
        <f>DEVSQ(Table23[Protobuf.NET (duration)])</f>
        <v>28.666666666666664</v>
      </c>
    </row>
    <row r="47" spans="2:11" x14ac:dyDescent="0.25">
      <c r="B47" t="s">
        <v>1</v>
      </c>
      <c r="C47" s="2">
        <f>DEVSQ(Table24[Newtonsoft (duration)])</f>
        <v>514262</v>
      </c>
      <c r="D47" s="2">
        <f>DEVSQ(Table24[Revenj.NET full (duration)])</f>
        <v>1197784.6666666665</v>
      </c>
      <c r="E47" s="2">
        <f>DEVSQ(Table24[Revenj.NET minimal (duration)])</f>
        <v>101540.66666666667</v>
      </c>
      <c r="F47" s="2">
        <f>DEVSQ(Table24[Jackson (duration)])</f>
        <v>27818</v>
      </c>
      <c r="G47" s="2">
        <f>DEVSQ(Table24[DSL client Java full (duration)])</f>
        <v>682.66666666666663</v>
      </c>
      <c r="H47" s="2">
        <f>DEVSQ(Table24[DSL client Java minimal (duration)])</f>
        <v>682.66666666666663</v>
      </c>
      <c r="I47" s="2">
        <f>DEVSQ(Table24[Protobuf.NET (duration)])</f>
        <v>3062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12045</v>
      </c>
      <c r="C52">
        <v>517777768</v>
      </c>
      <c r="D52">
        <v>5572</v>
      </c>
      <c r="E52">
        <v>517777780</v>
      </c>
      <c r="F52">
        <v>5989</v>
      </c>
      <c r="G52">
        <v>517777768</v>
      </c>
      <c r="H52">
        <v>3183</v>
      </c>
      <c r="I52">
        <v>517777780</v>
      </c>
      <c r="J52">
        <v>1607</v>
      </c>
      <c r="K52">
        <v>517777780</v>
      </c>
      <c r="L52">
        <v>1622</v>
      </c>
      <c r="M52">
        <v>517777768</v>
      </c>
      <c r="N52">
        <v>4658</v>
      </c>
      <c r="O52">
        <v>266775224</v>
      </c>
    </row>
    <row r="53" spans="2:15" x14ac:dyDescent="0.25">
      <c r="B53">
        <v>10415</v>
      </c>
      <c r="C53">
        <v>517777768</v>
      </c>
      <c r="D53">
        <v>5592</v>
      </c>
      <c r="E53">
        <v>517777780</v>
      </c>
      <c r="F53">
        <v>5544</v>
      </c>
      <c r="G53">
        <v>517777768</v>
      </c>
      <c r="H53">
        <v>3198</v>
      </c>
      <c r="I53">
        <v>517777780</v>
      </c>
      <c r="J53">
        <v>1638</v>
      </c>
      <c r="K53">
        <v>517777780</v>
      </c>
      <c r="L53">
        <v>1623</v>
      </c>
      <c r="M53">
        <v>517777768</v>
      </c>
      <c r="N53">
        <v>4665</v>
      </c>
      <c r="O53">
        <v>266775224</v>
      </c>
    </row>
    <row r="54" spans="2:15" x14ac:dyDescent="0.25">
      <c r="B54">
        <v>10397</v>
      </c>
      <c r="C54">
        <v>517777768</v>
      </c>
      <c r="D54">
        <v>5581</v>
      </c>
      <c r="E54">
        <v>517777780</v>
      </c>
      <c r="F54">
        <v>6582</v>
      </c>
      <c r="G54">
        <v>517777768</v>
      </c>
      <c r="H54">
        <v>3463</v>
      </c>
      <c r="I54">
        <v>517777780</v>
      </c>
      <c r="J54">
        <v>1638</v>
      </c>
      <c r="K54">
        <v>517777780</v>
      </c>
      <c r="L54">
        <v>1591</v>
      </c>
      <c r="M54">
        <v>517777768</v>
      </c>
      <c r="N54">
        <v>4659</v>
      </c>
      <c r="O54">
        <v>266775224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42906</v>
      </c>
      <c r="C58">
        <v>11752</v>
      </c>
      <c r="D58">
        <v>11172</v>
      </c>
      <c r="E58">
        <v>6755</v>
      </c>
      <c r="F58">
        <v>3026</v>
      </c>
      <c r="G58">
        <v>3057</v>
      </c>
      <c r="H58">
        <v>10744</v>
      </c>
      <c r="I58">
        <v>1370</v>
      </c>
      <c r="J58">
        <v>421</v>
      </c>
    </row>
    <row r="59" spans="2:15" x14ac:dyDescent="0.25">
      <c r="B59">
        <v>43499</v>
      </c>
      <c r="C59">
        <v>12983</v>
      </c>
      <c r="D59">
        <v>10838</v>
      </c>
      <c r="E59">
        <v>6568</v>
      </c>
      <c r="F59">
        <v>3058</v>
      </c>
      <c r="G59">
        <v>3089</v>
      </c>
      <c r="H59">
        <v>10673</v>
      </c>
      <c r="I59">
        <v>1358</v>
      </c>
      <c r="J59">
        <v>422</v>
      </c>
    </row>
    <row r="60" spans="2:15" x14ac:dyDescent="0.25">
      <c r="B60">
        <v>42490</v>
      </c>
      <c r="C60">
        <v>11555</v>
      </c>
      <c r="D60">
        <v>11267</v>
      </c>
      <c r="E60">
        <v>6786</v>
      </c>
      <c r="F60">
        <v>3058</v>
      </c>
      <c r="G60">
        <v>3089</v>
      </c>
      <c r="H60">
        <v>10680</v>
      </c>
      <c r="I60">
        <v>1493</v>
      </c>
      <c r="J60">
        <v>437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36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AVERAGE(Table27[Newtonsoft (duration)]) - J38</f>
        <v>150.33333333333334</v>
      </c>
      <c r="D38" s="2">
        <f>AVERAGE(Table27[Revenj.NET full (duration)]) - J38</f>
        <v>61</v>
      </c>
      <c r="E38" s="2">
        <f>AVERAGE(Table27[Revenj.NET minimal (duration)]) - J38</f>
        <v>66.333333333333329</v>
      </c>
      <c r="F38" s="2">
        <f>AVERAGE(Table27[Jackson (duration)]) - J39</f>
        <v>239</v>
      </c>
      <c r="G38" s="2">
        <f>AVERAGE(Table27[DSL client Java full (duration)]) - J39</f>
        <v>161.33333333333334</v>
      </c>
      <c r="H38" s="2">
        <f>AVERAGE(Table27[DSL client Java minimal (duration)]) - J39</f>
        <v>161</v>
      </c>
      <c r="I38" s="2">
        <f>AVERAGE(Table27[Protobuf.NET (duration)]) - J38</f>
        <v>44.666666666666664</v>
      </c>
      <c r="J38" s="2">
        <f>AVERAGE(Table28[.NET (instance only)])</f>
        <v>11</v>
      </c>
      <c r="K38" s="2">
        <f>AVERAGE(Table28[JVM (instance only)])</f>
        <v>78</v>
      </c>
    </row>
    <row r="39" spans="2:11" x14ac:dyDescent="0.25">
      <c r="B39" t="s">
        <v>3</v>
      </c>
      <c r="C39" s="2">
        <f>C40-C38</f>
        <v>548.33333333333326</v>
      </c>
      <c r="D39" s="2">
        <f t="shared" ref="D39:I39" si="0">D40-D38</f>
        <v>132.33333333333334</v>
      </c>
      <c r="E39" s="2">
        <f t="shared" si="0"/>
        <v>116.66666666666667</v>
      </c>
      <c r="F39" s="2">
        <f t="shared" ref="F39:H39" si="1">F40-F38</f>
        <v>140.66666666666669</v>
      </c>
      <c r="G39" s="2">
        <f t="shared" si="1"/>
        <v>83</v>
      </c>
      <c r="H39" s="2">
        <f t="shared" si="1"/>
        <v>78</v>
      </c>
      <c r="I39" s="2">
        <f t="shared" si="0"/>
        <v>60.000000000000007</v>
      </c>
      <c r="J39" s="2"/>
      <c r="K39" s="2"/>
    </row>
    <row r="40" spans="2:11" x14ac:dyDescent="0.25">
      <c r="B40" t="s">
        <v>1</v>
      </c>
      <c r="C40" s="2">
        <f>AVERAGE(Table28[Newtonsoft (duration)]) - J38</f>
        <v>698.66666666666663</v>
      </c>
      <c r="D40" s="2">
        <f>AVERAGE(Table28[Revenj.NET full (duration)]) - J38</f>
        <v>193.33333333333334</v>
      </c>
      <c r="E40" s="2">
        <f>AVERAGE(Table28[Revenj.NET minimal (duration)]) - J38</f>
        <v>183</v>
      </c>
      <c r="F40" s="2">
        <f>AVERAGE(Table28[Jackson (duration)]) - J39</f>
        <v>379.66666666666669</v>
      </c>
      <c r="G40" s="2">
        <f>AVERAGE(Table28[DSL client Java full (duration)]) - J39</f>
        <v>244.33333333333334</v>
      </c>
      <c r="H40" s="2">
        <f>AVERAGE(Table28[DSL client Java minimal (duration)]) - J39</f>
        <v>239</v>
      </c>
      <c r="I40" s="2">
        <f>AVERAGE(Table28[Protobuf.NET (duration)]) - J38</f>
        <v>104.66666666666667</v>
      </c>
      <c r="J40" s="2"/>
      <c r="K40" s="2"/>
    </row>
    <row r="41" spans="2:11" x14ac:dyDescent="0.25">
      <c r="B41" t="s">
        <v>8</v>
      </c>
      <c r="C41" s="3">
        <f>AVERAGE(Table27[Newtonsoft (size)])</f>
        <v>3346868</v>
      </c>
      <c r="D41" s="3">
        <f>AVERAGE(Table27[Revenj.NET full (size)])</f>
        <v>3346489</v>
      </c>
      <c r="E41" s="3">
        <f>AVERAGE(Table27[Revenj.NET minimal (size)])</f>
        <v>3346472</v>
      </c>
      <c r="F41" s="3">
        <f>AVERAGE(Table27[Jackson (size)])</f>
        <v>4477194</v>
      </c>
      <c r="G41" s="3">
        <f>AVERAGE(Table27[DSL client Java full (size)])</f>
        <v>4477190</v>
      </c>
      <c r="H41" s="3">
        <f>AVERAGE(Table27[DSL client Java minimal (size)])</f>
        <v>4477173</v>
      </c>
      <c r="I41" s="3">
        <f>AVERAGE(Table27[Protobuf.NET (size)])</f>
        <v>1658087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DEVSQ(Table27[Newtonsoft (duration)])</f>
        <v>2.6666666666666665</v>
      </c>
      <c r="D46" s="2">
        <f>DEVSQ(Table27[Revenj.NET full (duration)])</f>
        <v>2</v>
      </c>
      <c r="E46" s="2">
        <f>DEVSQ(Table27[Revenj.NET minimal (duration)])</f>
        <v>112.66666666666667</v>
      </c>
      <c r="F46" s="2">
        <f>DEVSQ(Table27[Jackson (duration)])</f>
        <v>1142</v>
      </c>
      <c r="G46" s="2">
        <f>DEVSQ(Table27[DSL client Java full (duration)])</f>
        <v>170.66666666666666</v>
      </c>
      <c r="H46" s="2">
        <f>DEVSQ(Table27[DSL client Java minimal (duration)])</f>
        <v>150</v>
      </c>
      <c r="I46" s="2">
        <f>DEVSQ(Table27[Protobuf.NET (duration)])</f>
        <v>2.666666666666667</v>
      </c>
    </row>
    <row r="47" spans="2:11" x14ac:dyDescent="0.25">
      <c r="B47" t="s">
        <v>1</v>
      </c>
      <c r="C47" s="2">
        <f>DEVSQ(Table28[Newtonsoft (duration)])</f>
        <v>384.66666666666669</v>
      </c>
      <c r="D47" s="2">
        <f>DEVSQ(Table28[Revenj.NET full (duration)])</f>
        <v>1632.6666666666665</v>
      </c>
      <c r="E47" s="2">
        <f>DEVSQ(Table28[Revenj.NET minimal (duration)])</f>
        <v>14</v>
      </c>
      <c r="F47" s="2">
        <f>DEVSQ(Table28[Jackson (duration)])</f>
        <v>1152.6666666666665</v>
      </c>
      <c r="G47" s="2">
        <f>DEVSQ(Table28[DSL client Java full (duration)])</f>
        <v>160.66666666666666</v>
      </c>
      <c r="H47" s="2">
        <f>DEVSQ(Table28[DSL client Java minimal (duration)])</f>
        <v>150</v>
      </c>
      <c r="I47" s="2">
        <f>DEVSQ(Table28[Protobuf.NET (duration)])</f>
        <v>28.666666666666664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162</v>
      </c>
      <c r="C52">
        <v>3346868</v>
      </c>
      <c r="D52">
        <v>71</v>
      </c>
      <c r="E52">
        <v>3346489</v>
      </c>
      <c r="F52">
        <v>73</v>
      </c>
      <c r="G52">
        <v>3346472</v>
      </c>
      <c r="H52">
        <v>234</v>
      </c>
      <c r="I52">
        <v>4477194</v>
      </c>
      <c r="J52">
        <v>156</v>
      </c>
      <c r="K52">
        <v>4477190</v>
      </c>
      <c r="L52">
        <v>171</v>
      </c>
      <c r="M52">
        <v>4477173</v>
      </c>
      <c r="N52">
        <v>55</v>
      </c>
      <c r="O52">
        <v>1658087</v>
      </c>
    </row>
    <row r="53" spans="2:15" x14ac:dyDescent="0.25">
      <c r="B53">
        <v>160</v>
      </c>
      <c r="C53">
        <v>3346868</v>
      </c>
      <c r="D53">
        <v>73</v>
      </c>
      <c r="E53">
        <v>3346489</v>
      </c>
      <c r="F53">
        <v>73</v>
      </c>
      <c r="G53">
        <v>3346472</v>
      </c>
      <c r="H53">
        <v>218</v>
      </c>
      <c r="I53">
        <v>4477194</v>
      </c>
      <c r="J53">
        <v>156</v>
      </c>
      <c r="K53">
        <v>4477190</v>
      </c>
      <c r="L53">
        <v>156</v>
      </c>
      <c r="M53">
        <v>4477173</v>
      </c>
      <c r="N53">
        <v>57</v>
      </c>
      <c r="O53">
        <v>1658087</v>
      </c>
    </row>
    <row r="54" spans="2:15" x14ac:dyDescent="0.25">
      <c r="B54">
        <v>162</v>
      </c>
      <c r="C54">
        <v>3346868</v>
      </c>
      <c r="D54">
        <v>72</v>
      </c>
      <c r="E54">
        <v>3346489</v>
      </c>
      <c r="F54">
        <v>86</v>
      </c>
      <c r="G54">
        <v>3346472</v>
      </c>
      <c r="H54">
        <v>265</v>
      </c>
      <c r="I54">
        <v>4477194</v>
      </c>
      <c r="J54">
        <v>172</v>
      </c>
      <c r="K54">
        <v>4477190</v>
      </c>
      <c r="L54">
        <v>156</v>
      </c>
      <c r="M54">
        <v>4477173</v>
      </c>
      <c r="N54">
        <v>55</v>
      </c>
      <c r="O54">
        <v>1658087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706</v>
      </c>
      <c r="C58">
        <v>184</v>
      </c>
      <c r="D58">
        <v>197</v>
      </c>
      <c r="E58">
        <v>406</v>
      </c>
      <c r="F58">
        <v>234</v>
      </c>
      <c r="G58">
        <v>234</v>
      </c>
      <c r="H58">
        <v>114</v>
      </c>
      <c r="I58">
        <v>11</v>
      </c>
      <c r="J58">
        <v>78</v>
      </c>
    </row>
    <row r="59" spans="2:15" x14ac:dyDescent="0.25">
      <c r="B59">
        <v>698</v>
      </c>
      <c r="C59">
        <v>237</v>
      </c>
      <c r="D59">
        <v>193</v>
      </c>
      <c r="E59">
        <v>374</v>
      </c>
      <c r="F59">
        <v>250</v>
      </c>
      <c r="G59">
        <v>234</v>
      </c>
      <c r="H59">
        <v>113</v>
      </c>
      <c r="I59">
        <v>11</v>
      </c>
      <c r="J59">
        <v>78</v>
      </c>
    </row>
    <row r="60" spans="2:15" x14ac:dyDescent="0.25">
      <c r="B60">
        <v>725</v>
      </c>
      <c r="C60">
        <v>192</v>
      </c>
      <c r="D60">
        <v>192</v>
      </c>
      <c r="E60">
        <v>359</v>
      </c>
      <c r="F60">
        <v>249</v>
      </c>
      <c r="G60">
        <v>249</v>
      </c>
      <c r="H60">
        <v>120</v>
      </c>
      <c r="I60">
        <v>11</v>
      </c>
      <c r="J60">
        <v>78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37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AVERAGE(Table31[Newtonsoft (duration)]) - J38</f>
        <v>1575.3333333333335</v>
      </c>
      <c r="D38" s="2">
        <f>AVERAGE(Table31[Revenj.NET full (duration)]) - J38</f>
        <v>621.66666666666663</v>
      </c>
      <c r="E38" s="2">
        <f>AVERAGE(Table31[Revenj.NET minimal (duration)]) - J38</f>
        <v>625</v>
      </c>
      <c r="F38" s="2">
        <f>AVERAGE(Table31[Jackson (duration)]) - J39</f>
        <v>1076.3333333333333</v>
      </c>
      <c r="G38" s="2">
        <f>AVERAGE(Table31[DSL client Java full (duration)]) - J39</f>
        <v>686.33333333333337</v>
      </c>
      <c r="H38" s="2">
        <f>AVERAGE(Table31[DSL client Java minimal (duration)]) - J39</f>
        <v>691.66666666666663</v>
      </c>
      <c r="I38" s="2">
        <f>AVERAGE(Table31[Protobuf.NET (duration)]) - J38</f>
        <v>388.33333333333337</v>
      </c>
      <c r="J38" s="2">
        <f>AVERAGE(Table32[.NET (instance only)])</f>
        <v>113.33333333333333</v>
      </c>
      <c r="K38" s="2">
        <f>AVERAGE(Table32[JVM (instance only)])</f>
        <v>400.66666666666669</v>
      </c>
    </row>
    <row r="39" spans="2:11" x14ac:dyDescent="0.25">
      <c r="B39" t="s">
        <v>3</v>
      </c>
      <c r="C39" s="2">
        <f>C40-C38</f>
        <v>5247.3333333333339</v>
      </c>
      <c r="D39" s="2">
        <f t="shared" ref="D39:I39" si="0">D40-D38</f>
        <v>1207.3333333333335</v>
      </c>
      <c r="E39" s="2">
        <f t="shared" si="0"/>
        <v>1169.3333333333335</v>
      </c>
      <c r="F39" s="2">
        <f t="shared" ref="F39:H39" si="1">F40-F38</f>
        <v>1056.0000000000002</v>
      </c>
      <c r="G39" s="2">
        <f t="shared" si="1"/>
        <v>358.66666666666663</v>
      </c>
      <c r="H39" s="2">
        <f t="shared" si="1"/>
        <v>343.00000000000011</v>
      </c>
      <c r="I39" s="2">
        <f t="shared" si="0"/>
        <v>564.66666666666652</v>
      </c>
      <c r="J39" s="2"/>
      <c r="K39" s="2"/>
    </row>
    <row r="40" spans="2:11" x14ac:dyDescent="0.25">
      <c r="B40" t="s">
        <v>1</v>
      </c>
      <c r="C40" s="2">
        <f>AVERAGE(Table32[Newtonsoft (duration)]) - J38</f>
        <v>6822.666666666667</v>
      </c>
      <c r="D40" s="2">
        <f>AVERAGE(Table32[Revenj.NET full (duration)]) - J38</f>
        <v>1829</v>
      </c>
      <c r="E40" s="2">
        <f>AVERAGE(Table32[Revenj.NET minimal (duration)]) - J38</f>
        <v>1794.3333333333335</v>
      </c>
      <c r="F40" s="2">
        <f>AVERAGE(Table32[Jackson (duration)]) - J39</f>
        <v>2132.3333333333335</v>
      </c>
      <c r="G40" s="2">
        <f>AVERAGE(Table32[DSL client Java full (duration)]) - J39</f>
        <v>1045</v>
      </c>
      <c r="H40" s="2">
        <f>AVERAGE(Table32[DSL client Java minimal (duration)]) - J39</f>
        <v>1034.6666666666667</v>
      </c>
      <c r="I40" s="2">
        <f>AVERAGE(Table32[Protobuf.NET (duration)]) - J38</f>
        <v>952.99999999999989</v>
      </c>
      <c r="J40" s="2"/>
      <c r="K40" s="2"/>
    </row>
    <row r="41" spans="2:11" x14ac:dyDescent="0.25">
      <c r="B41" t="s">
        <v>8</v>
      </c>
      <c r="C41" s="3">
        <f>AVERAGE(Table31[Newtonsoft (size)])</f>
        <v>36448868</v>
      </c>
      <c r="D41" s="3">
        <f>AVERAGE(Table31[Revenj.NET full (size)])</f>
        <v>36444889</v>
      </c>
      <c r="E41" s="3">
        <f>AVERAGE(Table31[Revenj.NET minimal (size)])</f>
        <v>36444872</v>
      </c>
      <c r="F41" s="3">
        <f>AVERAGE(Table31[Jackson (size)])</f>
        <v>46514394</v>
      </c>
      <c r="G41" s="3">
        <f>AVERAGE(Table31[DSL client Java full (size)])</f>
        <v>46514390</v>
      </c>
      <c r="H41" s="3">
        <f>AVERAGE(Table31[DSL client Java minimal (size)])</f>
        <v>46514373</v>
      </c>
      <c r="I41" s="3">
        <f>AVERAGE(Table31[Protobuf.NET (size)])</f>
        <v>16941514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DEVSQ(Table31[Newtonsoft (duration)])</f>
        <v>8364.6666666666661</v>
      </c>
      <c r="D46" s="2">
        <f>DEVSQ(Table31[Revenj.NET full (duration)])</f>
        <v>14</v>
      </c>
      <c r="E46" s="2">
        <f>DEVSQ(Table31[Revenj.NET minimal (duration)])</f>
        <v>16.666666666666664</v>
      </c>
      <c r="F46" s="2">
        <f>DEVSQ(Table31[Jackson (duration)])</f>
        <v>480.66666666666663</v>
      </c>
      <c r="G46" s="2">
        <f>DEVSQ(Table31[DSL client Java full (duration)])</f>
        <v>480.66666666666669</v>
      </c>
      <c r="H46" s="2">
        <f>DEVSQ(Table31[DSL client Java minimal (duration)])</f>
        <v>160.66666666666669</v>
      </c>
      <c r="I46" s="2">
        <f>DEVSQ(Table31[Protobuf.NET (duration)])</f>
        <v>8.6666666666666661</v>
      </c>
    </row>
    <row r="47" spans="2:11" x14ac:dyDescent="0.25">
      <c r="B47" t="s">
        <v>1</v>
      </c>
      <c r="C47" s="2">
        <f>DEVSQ(Table32[Newtonsoft (duration)])</f>
        <v>32672</v>
      </c>
      <c r="D47" s="2">
        <f>DEVSQ(Table32[Revenj.NET full (duration)])</f>
        <v>6088.6666666666661</v>
      </c>
      <c r="E47" s="2">
        <f>DEVSQ(Table32[Revenj.NET minimal (duration)])</f>
        <v>6212.666666666667</v>
      </c>
      <c r="F47" s="2">
        <f>DEVSQ(Table32[Jackson (duration)])</f>
        <v>20172.666666666664</v>
      </c>
      <c r="G47" s="2">
        <f>DEVSQ(Table32[DSL client Java full (duration)])</f>
        <v>0</v>
      </c>
      <c r="H47" s="2">
        <f>DEVSQ(Table32[DSL client Java minimal (duration)])</f>
        <v>160.66666666666666</v>
      </c>
      <c r="I47" s="2">
        <f>DEVSQ(Table32[Protobuf.NET (duration)])</f>
        <v>120.66666666666666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1614</v>
      </c>
      <c r="C52">
        <v>36448868</v>
      </c>
      <c r="D52">
        <v>738</v>
      </c>
      <c r="E52">
        <v>36444889</v>
      </c>
      <c r="F52">
        <v>735</v>
      </c>
      <c r="G52">
        <v>36444872</v>
      </c>
      <c r="H52">
        <v>1076</v>
      </c>
      <c r="I52">
        <v>46514394</v>
      </c>
      <c r="J52">
        <v>702</v>
      </c>
      <c r="K52">
        <v>46514390</v>
      </c>
      <c r="L52">
        <v>702</v>
      </c>
      <c r="M52">
        <v>46514373</v>
      </c>
      <c r="N52">
        <v>500</v>
      </c>
      <c r="O52">
        <v>16941514</v>
      </c>
    </row>
    <row r="53" spans="2:15" x14ac:dyDescent="0.25">
      <c r="B53">
        <v>1727</v>
      </c>
      <c r="C53">
        <v>36448868</v>
      </c>
      <c r="D53">
        <v>734</v>
      </c>
      <c r="E53">
        <v>36444889</v>
      </c>
      <c r="F53">
        <v>740</v>
      </c>
      <c r="G53">
        <v>36444872</v>
      </c>
      <c r="H53">
        <v>1061</v>
      </c>
      <c r="I53">
        <v>46514394</v>
      </c>
      <c r="J53">
        <v>686</v>
      </c>
      <c r="K53">
        <v>46514390</v>
      </c>
      <c r="L53">
        <v>686</v>
      </c>
      <c r="M53">
        <v>46514373</v>
      </c>
      <c r="N53">
        <v>504</v>
      </c>
      <c r="O53">
        <v>16941514</v>
      </c>
    </row>
    <row r="54" spans="2:15" x14ac:dyDescent="0.25">
      <c r="B54">
        <v>1725</v>
      </c>
      <c r="C54">
        <v>36448868</v>
      </c>
      <c r="D54">
        <v>733</v>
      </c>
      <c r="E54">
        <v>36444889</v>
      </c>
      <c r="F54">
        <v>740</v>
      </c>
      <c r="G54">
        <v>36444872</v>
      </c>
      <c r="H54">
        <v>1092</v>
      </c>
      <c r="I54">
        <v>46514394</v>
      </c>
      <c r="J54">
        <v>671</v>
      </c>
      <c r="K54">
        <v>46514390</v>
      </c>
      <c r="L54">
        <v>687</v>
      </c>
      <c r="M54">
        <v>46514373</v>
      </c>
      <c r="N54">
        <v>501</v>
      </c>
      <c r="O54">
        <v>16941514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7080</v>
      </c>
      <c r="C58">
        <v>1968</v>
      </c>
      <c r="D58">
        <v>1874</v>
      </c>
      <c r="E58">
        <v>2090</v>
      </c>
      <c r="F58">
        <v>1045</v>
      </c>
      <c r="G58">
        <v>1029</v>
      </c>
      <c r="H58">
        <v>1060</v>
      </c>
      <c r="I58">
        <v>112</v>
      </c>
      <c r="J58">
        <v>390</v>
      </c>
    </row>
    <row r="59" spans="2:15" x14ac:dyDescent="0.25">
      <c r="B59">
        <v>6836</v>
      </c>
      <c r="C59">
        <v>1980</v>
      </c>
      <c r="D59">
        <v>1877</v>
      </c>
      <c r="E59">
        <v>2060</v>
      </c>
      <c r="F59">
        <v>1045</v>
      </c>
      <c r="G59">
        <v>1045</v>
      </c>
      <c r="H59">
        <v>1075</v>
      </c>
      <c r="I59">
        <v>114</v>
      </c>
      <c r="J59">
        <v>406</v>
      </c>
    </row>
    <row r="60" spans="2:15" x14ac:dyDescent="0.25">
      <c r="B60">
        <v>6892</v>
      </c>
      <c r="C60">
        <v>1879</v>
      </c>
      <c r="D60">
        <v>1972</v>
      </c>
      <c r="E60">
        <v>2247</v>
      </c>
      <c r="F60">
        <v>1045</v>
      </c>
      <c r="G60">
        <v>1030</v>
      </c>
      <c r="H60">
        <v>1064</v>
      </c>
      <c r="I60">
        <v>114</v>
      </c>
      <c r="J60">
        <v>406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38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AVERAGE(Table35[Newtonsoft (duration)]) - J38</f>
        <v>15966.666666666668</v>
      </c>
      <c r="D38" s="2">
        <f>AVERAGE(Table35[Revenj.NET full (duration)]) - J38</f>
        <v>6337.666666666667</v>
      </c>
      <c r="E38" s="2">
        <f>AVERAGE(Table35[Revenj.NET minimal (duration)]) - J38</f>
        <v>6343.333333333333</v>
      </c>
      <c r="F38" s="2">
        <f>AVERAGE(Table35[Jackson (duration)]) - J39</f>
        <v>9230.3333333333339</v>
      </c>
      <c r="G38" s="2">
        <f>AVERAGE(Table35[DSL client Java full (duration)]) - J39</f>
        <v>5933.333333333333</v>
      </c>
      <c r="H38" s="2">
        <f>AVERAGE(Table35[DSL client Java minimal (duration)]) - J39</f>
        <v>5912.333333333333</v>
      </c>
      <c r="I38" s="2">
        <f>AVERAGE(Table35[Protobuf.NET (duration)]) - J38</f>
        <v>3870</v>
      </c>
      <c r="J38" s="2">
        <f>AVERAGE(Table36[.NET (instance only)])</f>
        <v>1134</v>
      </c>
      <c r="K38" s="2">
        <f>AVERAGE(Table36[JVM (instance only)])</f>
        <v>3270.6666666666665</v>
      </c>
    </row>
    <row r="39" spans="2:11" x14ac:dyDescent="0.25">
      <c r="B39" t="s">
        <v>3</v>
      </c>
      <c r="C39" s="2">
        <f>C40-C38</f>
        <v>52182.666666666657</v>
      </c>
      <c r="D39" s="2">
        <f t="shared" ref="D39:I39" si="0">D40-D38</f>
        <v>12937</v>
      </c>
      <c r="E39" s="2">
        <f t="shared" si="0"/>
        <v>12775.666666666668</v>
      </c>
      <c r="F39" s="2">
        <f t="shared" ref="F39:H39" si="1">F40-F38</f>
        <v>9952.3333333333339</v>
      </c>
      <c r="G39" s="2">
        <f t="shared" si="1"/>
        <v>3265.333333333333</v>
      </c>
      <c r="H39" s="2">
        <f t="shared" si="1"/>
        <v>3297.0000000000009</v>
      </c>
      <c r="I39" s="2">
        <f t="shared" si="0"/>
        <v>5522</v>
      </c>
      <c r="J39" s="2"/>
      <c r="K39" s="2"/>
    </row>
    <row r="40" spans="2:11" x14ac:dyDescent="0.25">
      <c r="B40" t="s">
        <v>1</v>
      </c>
      <c r="C40" s="2">
        <f>AVERAGE(Table36[Newtonsoft (duration)]) - J38</f>
        <v>68149.333333333328</v>
      </c>
      <c r="D40" s="2">
        <f>AVERAGE(Table36[Revenj.NET full (duration)]) - J38</f>
        <v>19274.666666666668</v>
      </c>
      <c r="E40" s="2">
        <f>AVERAGE(Table36[Revenj.NET minimal (duration)]) - J38</f>
        <v>19119</v>
      </c>
      <c r="F40" s="2">
        <f>AVERAGE(Table36[Jackson (duration)]) - J39</f>
        <v>19182.666666666668</v>
      </c>
      <c r="G40" s="2">
        <f>AVERAGE(Table36[DSL client Java full (duration)]) - J39</f>
        <v>9198.6666666666661</v>
      </c>
      <c r="H40" s="2">
        <f>AVERAGE(Table36[DSL client Java minimal (duration)]) - J39</f>
        <v>9209.3333333333339</v>
      </c>
      <c r="I40" s="2">
        <f>AVERAGE(Table36[Protobuf.NET (duration)]) - J38</f>
        <v>9392</v>
      </c>
      <c r="J40" s="2"/>
      <c r="K40" s="2"/>
    </row>
    <row r="41" spans="2:11" x14ac:dyDescent="0.25">
      <c r="B41" t="s">
        <v>8</v>
      </c>
      <c r="C41" s="3">
        <f>AVERAGE(Table35[Newtonsoft (size)])</f>
        <v>394468868</v>
      </c>
      <c r="D41" s="3">
        <f>AVERAGE(Table35[Revenj.NET full (size)])</f>
        <v>394428889</v>
      </c>
      <c r="E41" s="3">
        <f>AVERAGE(Table35[Revenj.NET minimal (size)])</f>
        <v>394428872</v>
      </c>
      <c r="F41" s="3">
        <f>AVERAGE(Table35[Jackson (size)])</f>
        <v>471015610</v>
      </c>
      <c r="G41" s="3">
        <f>AVERAGE(Table35[DSL client Java full (size)])</f>
        <v>471015606</v>
      </c>
      <c r="H41" s="3">
        <f>AVERAGE(Table35[DSL client Java minimal (size)])</f>
        <v>471015589</v>
      </c>
      <c r="I41" s="3">
        <f>AVERAGE(Table35[Protobuf.NET (size)])</f>
        <v>184924181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DEVSQ(Table35[Newtonsoft (duration)])</f>
        <v>1245440.6666666665</v>
      </c>
      <c r="D46" s="2">
        <f>DEVSQ(Table35[Revenj.NET full (duration)])</f>
        <v>290.66666666666669</v>
      </c>
      <c r="E46" s="2">
        <f>DEVSQ(Table35[Revenj.NET minimal (duration)])</f>
        <v>4316.6666666666661</v>
      </c>
      <c r="F46" s="2">
        <f>DEVSQ(Table35[Jackson (duration)])</f>
        <v>5988.6666666666661</v>
      </c>
      <c r="G46" s="2">
        <f>DEVSQ(Table35[DSL client Java full (duration)])</f>
        <v>1100.6666666666665</v>
      </c>
      <c r="H46" s="2">
        <f>DEVSQ(Table35[DSL client Java minimal (duration)])</f>
        <v>5890.6666666666661</v>
      </c>
      <c r="I46" s="2">
        <f>DEVSQ(Table35[Protobuf.NET (duration)])</f>
        <v>494</v>
      </c>
    </row>
    <row r="47" spans="2:11" x14ac:dyDescent="0.25">
      <c r="B47" t="s">
        <v>1</v>
      </c>
      <c r="C47" s="2">
        <f>DEVSQ(Table36[Newtonsoft (duration)])</f>
        <v>792404.66666666674</v>
      </c>
      <c r="D47" s="2">
        <f>DEVSQ(Table36[Revenj.NET full (duration)])</f>
        <v>511116.66666666669</v>
      </c>
      <c r="E47" s="2">
        <f>DEVSQ(Table36[Revenj.NET minimal (duration)])</f>
        <v>1133754</v>
      </c>
      <c r="F47" s="2">
        <f>DEVSQ(Table36[Jackson (duration)])</f>
        <v>136914.66666666666</v>
      </c>
      <c r="G47" s="2">
        <f>DEVSQ(Table36[DSL client Java full (duration)])</f>
        <v>61428.666666666672</v>
      </c>
      <c r="H47" s="2">
        <f>DEVSQ(Table36[DSL client Java minimal (duration)])</f>
        <v>28132.666666666668</v>
      </c>
      <c r="I47" s="2">
        <f>DEVSQ(Table36[Protobuf.NET (duration)])</f>
        <v>338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18011</v>
      </c>
      <c r="C52">
        <v>394468868</v>
      </c>
      <c r="D52">
        <v>7483</v>
      </c>
      <c r="E52">
        <v>394428889</v>
      </c>
      <c r="F52">
        <v>7464</v>
      </c>
      <c r="G52">
        <v>394428872</v>
      </c>
      <c r="H52">
        <v>9282</v>
      </c>
      <c r="I52">
        <v>471015610</v>
      </c>
      <c r="J52">
        <v>5928</v>
      </c>
      <c r="K52">
        <v>471015606</v>
      </c>
      <c r="L52">
        <v>5881</v>
      </c>
      <c r="M52">
        <v>471015589</v>
      </c>
      <c r="N52">
        <v>5021</v>
      </c>
      <c r="O52">
        <v>184924181</v>
      </c>
    </row>
    <row r="53" spans="2:15" x14ac:dyDescent="0.25">
      <c r="B53">
        <v>16680</v>
      </c>
      <c r="C53">
        <v>394468868</v>
      </c>
      <c r="D53">
        <v>7473</v>
      </c>
      <c r="E53">
        <v>394428889</v>
      </c>
      <c r="F53">
        <v>7439</v>
      </c>
      <c r="G53">
        <v>394428872</v>
      </c>
      <c r="H53">
        <v>9173</v>
      </c>
      <c r="I53">
        <v>471015610</v>
      </c>
      <c r="J53">
        <v>5913</v>
      </c>
      <c r="K53">
        <v>471015606</v>
      </c>
      <c r="L53">
        <v>5881</v>
      </c>
      <c r="M53">
        <v>471015589</v>
      </c>
      <c r="N53">
        <v>5001</v>
      </c>
      <c r="O53">
        <v>184924181</v>
      </c>
    </row>
    <row r="54" spans="2:15" x14ac:dyDescent="0.25">
      <c r="B54">
        <v>16611</v>
      </c>
      <c r="C54">
        <v>394468868</v>
      </c>
      <c r="D54">
        <v>7459</v>
      </c>
      <c r="E54">
        <v>394428889</v>
      </c>
      <c r="F54">
        <v>7529</v>
      </c>
      <c r="G54">
        <v>394428872</v>
      </c>
      <c r="H54">
        <v>9236</v>
      </c>
      <c r="I54">
        <v>471015610</v>
      </c>
      <c r="J54">
        <v>5959</v>
      </c>
      <c r="K54">
        <v>471015606</v>
      </c>
      <c r="L54">
        <v>5975</v>
      </c>
      <c r="M54">
        <v>471015589</v>
      </c>
      <c r="N54">
        <v>4990</v>
      </c>
      <c r="O54">
        <v>184924181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69458</v>
      </c>
      <c r="C58">
        <v>19827</v>
      </c>
      <c r="D58">
        <v>20665</v>
      </c>
      <c r="E58">
        <v>18954</v>
      </c>
      <c r="F58">
        <v>9048</v>
      </c>
      <c r="G58">
        <v>9080</v>
      </c>
      <c r="H58">
        <v>10513</v>
      </c>
      <c r="I58">
        <v>1127</v>
      </c>
      <c r="J58">
        <v>3198</v>
      </c>
    </row>
    <row r="59" spans="2:15" x14ac:dyDescent="0.25">
      <c r="B59">
        <v>69807</v>
      </c>
      <c r="C59">
        <v>20742</v>
      </c>
      <c r="D59">
        <v>19384</v>
      </c>
      <c r="E59">
        <v>19468</v>
      </c>
      <c r="F59">
        <v>9157</v>
      </c>
      <c r="G59">
        <v>9313</v>
      </c>
      <c r="H59">
        <v>10526</v>
      </c>
      <c r="I59">
        <v>1127</v>
      </c>
      <c r="J59">
        <v>3338</v>
      </c>
    </row>
    <row r="60" spans="2:15" x14ac:dyDescent="0.25">
      <c r="B60">
        <v>68585</v>
      </c>
      <c r="C60">
        <v>20657</v>
      </c>
      <c r="D60">
        <v>20710</v>
      </c>
      <c r="E60">
        <v>19126</v>
      </c>
      <c r="F60">
        <v>9391</v>
      </c>
      <c r="G60">
        <v>9235</v>
      </c>
      <c r="H60">
        <v>10539</v>
      </c>
      <c r="I60">
        <v>1148</v>
      </c>
      <c r="J60">
        <v>3276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Unlicensed version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2015-01-27T15:08:16Z</dcterms:modified>
</cp:coreProperties>
</file>