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omments1.xml" ContentType="application/vnd.openxmlformats-officedocument.spreadsheetml.comment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comments2.xml" ContentType="application/vnd.openxmlformats-officedocument.spreadsheetml.comments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comments3.xml" ContentType="application/vnd.openxmlformats-officedocument.spreadsheetml.comments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285" yWindow="210" windowWidth="20115" windowHeight="7995"/>
  </bookViews>
  <sheets>
    <sheet name="Startup" sheetId="1" r:id="rId1"/>
    <sheet name="Small M 1" sheetId="3" r:id="rId2"/>
    <sheet name="Small M 2" sheetId="4" r:id="rId3"/>
    <sheet name="Small M 3" sheetId="5" r:id="rId4"/>
    <sheet name="Small C 1" sheetId="6" r:id="rId5"/>
    <sheet name="Small C 2" sheetId="7" r:id="rId6"/>
    <sheet name="Small C 3" sheetId="8" r:id="rId7"/>
    <sheet name="Small P 1" sheetId="9" r:id="rId8"/>
    <sheet name="Small P 2" sheetId="10" r:id="rId9"/>
    <sheet name="Small P 3" sheetId="11" r:id="rId10"/>
    <sheet name="Std D 1" sheetId="12" r:id="rId11"/>
    <sheet name="Std D 2" sheetId="13" r:id="rId12"/>
    <sheet name="Std D 3" sheetId="14" r:id="rId13"/>
    <sheet name="Std P 1" sheetId="15" r:id="rId14"/>
    <sheet name="Std P 2" sheetId="16" r:id="rId15"/>
    <sheet name="Std P 3" sheetId="17" r:id="rId16"/>
    <sheet name="Large 1" sheetId="18" r:id="rId17"/>
    <sheet name="Large 2" sheetId="19" r:id="rId18"/>
  </sheets>
  <calcPr calcId="145621"/>
</workbook>
</file>

<file path=xl/calcChain.xml><?xml version="1.0" encoding="utf-8"?>
<calcChain xmlns="http://schemas.openxmlformats.org/spreadsheetml/2006/main">
  <c r="N48" i="19" l="1"/>
  <c r="M48" i="19"/>
  <c r="L48" i="19"/>
  <c r="K48" i="19"/>
  <c r="J48" i="19"/>
  <c r="I48" i="19"/>
  <c r="H48" i="19"/>
  <c r="G48" i="19"/>
  <c r="F48" i="19"/>
  <c r="E48" i="19"/>
  <c r="D48" i="19"/>
  <c r="C48" i="19"/>
  <c r="N47" i="19"/>
  <c r="M47" i="19"/>
  <c r="L47" i="19"/>
  <c r="K47" i="19"/>
  <c r="J47" i="19"/>
  <c r="I47" i="19"/>
  <c r="H47" i="19"/>
  <c r="G47" i="19"/>
  <c r="F47" i="19"/>
  <c r="E47" i="19"/>
  <c r="D47" i="19"/>
  <c r="C47" i="19"/>
  <c r="N42" i="19"/>
  <c r="M42" i="19"/>
  <c r="L42" i="19"/>
  <c r="K42" i="19"/>
  <c r="J42" i="19"/>
  <c r="I42" i="19"/>
  <c r="H42" i="19"/>
  <c r="G42" i="19"/>
  <c r="F42" i="19"/>
  <c r="E42" i="19"/>
  <c r="D42" i="19"/>
  <c r="C42" i="19"/>
  <c r="N41" i="19"/>
  <c r="M41" i="19"/>
  <c r="L41" i="19"/>
  <c r="K41" i="19"/>
  <c r="J41" i="19"/>
  <c r="I41" i="19"/>
  <c r="H41" i="19"/>
  <c r="G41" i="19"/>
  <c r="F41" i="19"/>
  <c r="E41" i="19"/>
  <c r="D41" i="19"/>
  <c r="C41" i="19"/>
  <c r="N38" i="19"/>
  <c r="N39" i="19" s="1"/>
  <c r="N40" i="19" s="1"/>
  <c r="M38" i="19"/>
  <c r="M39" i="19" s="1"/>
  <c r="M40" i="19" s="1"/>
  <c r="L38" i="19"/>
  <c r="L39" i="19" s="1"/>
  <c r="L40" i="19" s="1"/>
  <c r="K38" i="19"/>
  <c r="K39" i="19" s="1"/>
  <c r="K40" i="19" s="1"/>
  <c r="J38" i="19"/>
  <c r="J39" i="19" s="1"/>
  <c r="J40" i="19" s="1"/>
  <c r="I38" i="19"/>
  <c r="I39" i="19" s="1"/>
  <c r="I40" i="19" s="1"/>
  <c r="H38" i="19"/>
  <c r="H39" i="19" s="1"/>
  <c r="H40" i="19" s="1"/>
  <c r="G38" i="19"/>
  <c r="G39" i="19" s="1"/>
  <c r="G40" i="19" s="1"/>
  <c r="F38" i="19"/>
  <c r="F39" i="19" s="1"/>
  <c r="F40" i="19" s="1"/>
  <c r="E38" i="19"/>
  <c r="E39" i="19" s="1"/>
  <c r="E40" i="19" s="1"/>
  <c r="D38" i="19"/>
  <c r="D39" i="19" s="1"/>
  <c r="D40" i="19" s="1"/>
  <c r="C38" i="19"/>
  <c r="C39" i="19" s="1"/>
  <c r="N48" i="18"/>
  <c r="M48" i="18"/>
  <c r="L48" i="18"/>
  <c r="K48" i="18"/>
  <c r="J48" i="18"/>
  <c r="I48" i="18"/>
  <c r="H48" i="18"/>
  <c r="G48" i="18"/>
  <c r="F48" i="18"/>
  <c r="E48" i="18"/>
  <c r="D48" i="18"/>
  <c r="C48" i="18"/>
  <c r="N47" i="18"/>
  <c r="M47" i="18"/>
  <c r="L47" i="18"/>
  <c r="K47" i="18"/>
  <c r="J47" i="18"/>
  <c r="I47" i="18"/>
  <c r="H47" i="18"/>
  <c r="G47" i="18"/>
  <c r="F47" i="18"/>
  <c r="E47" i="18"/>
  <c r="D47" i="18"/>
  <c r="C47" i="18"/>
  <c r="N42" i="18"/>
  <c r="M42" i="18"/>
  <c r="L42" i="18"/>
  <c r="K42" i="18"/>
  <c r="J42" i="18"/>
  <c r="I42" i="18"/>
  <c r="H42" i="18"/>
  <c r="G42" i="18"/>
  <c r="F42" i="18"/>
  <c r="E42" i="18"/>
  <c r="D42" i="18"/>
  <c r="C42" i="18"/>
  <c r="N41" i="18"/>
  <c r="M41" i="18"/>
  <c r="L41" i="18"/>
  <c r="K41" i="18"/>
  <c r="J41" i="18"/>
  <c r="I41" i="18"/>
  <c r="H41" i="18"/>
  <c r="G41" i="18"/>
  <c r="F41" i="18"/>
  <c r="E41" i="18"/>
  <c r="D41" i="18"/>
  <c r="C41" i="18"/>
  <c r="N38" i="18"/>
  <c r="N39" i="18" s="1"/>
  <c r="N40" i="18" s="1"/>
  <c r="M38" i="18"/>
  <c r="M39" i="18" s="1"/>
  <c r="M40" i="18" s="1"/>
  <c r="L38" i="18"/>
  <c r="L39" i="18" s="1"/>
  <c r="L40" i="18" s="1"/>
  <c r="K38" i="18"/>
  <c r="K39" i="18" s="1"/>
  <c r="K40" i="18" s="1"/>
  <c r="J38" i="18"/>
  <c r="J39" i="18" s="1"/>
  <c r="J40" i="18" s="1"/>
  <c r="I38" i="18"/>
  <c r="I39" i="18" s="1"/>
  <c r="I40" i="18" s="1"/>
  <c r="H38" i="18"/>
  <c r="H39" i="18" s="1"/>
  <c r="H40" i="18" s="1"/>
  <c r="G38" i="18"/>
  <c r="G39" i="18" s="1"/>
  <c r="G40" i="18" s="1"/>
  <c r="F38" i="18"/>
  <c r="F39" i="18" s="1"/>
  <c r="F40" i="18" s="1"/>
  <c r="E38" i="18"/>
  <c r="E39" i="18" s="1"/>
  <c r="E40" i="18" s="1"/>
  <c r="D38" i="18"/>
  <c r="D39" i="18" s="1"/>
  <c r="D40" i="18" s="1"/>
  <c r="C38" i="18"/>
  <c r="C39" i="18" s="1"/>
  <c r="N48" i="17"/>
  <c r="M48" i="17"/>
  <c r="L48" i="17"/>
  <c r="K48" i="17"/>
  <c r="J48" i="17"/>
  <c r="I48" i="17"/>
  <c r="H48" i="17"/>
  <c r="G48" i="17"/>
  <c r="F48" i="17"/>
  <c r="E48" i="17"/>
  <c r="D48" i="17"/>
  <c r="C48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N42" i="17"/>
  <c r="M42" i="17"/>
  <c r="L42" i="17"/>
  <c r="K42" i="17"/>
  <c r="J42" i="17"/>
  <c r="I42" i="17"/>
  <c r="H42" i="17"/>
  <c r="G42" i="17"/>
  <c r="F42" i="17"/>
  <c r="E42" i="17"/>
  <c r="D42" i="17"/>
  <c r="C42" i="17"/>
  <c r="N41" i="17"/>
  <c r="M41" i="17"/>
  <c r="L41" i="17"/>
  <c r="K41" i="17"/>
  <c r="J41" i="17"/>
  <c r="I41" i="17"/>
  <c r="H41" i="17"/>
  <c r="G41" i="17"/>
  <c r="F41" i="17"/>
  <c r="E41" i="17"/>
  <c r="D41" i="17"/>
  <c r="C41" i="17"/>
  <c r="N38" i="17"/>
  <c r="N39" i="17" s="1"/>
  <c r="N40" i="17" s="1"/>
  <c r="M38" i="17"/>
  <c r="M39" i="17" s="1"/>
  <c r="M40" i="17" s="1"/>
  <c r="L38" i="17"/>
  <c r="L39" i="17" s="1"/>
  <c r="L40" i="17" s="1"/>
  <c r="K38" i="17"/>
  <c r="K39" i="17" s="1"/>
  <c r="K40" i="17" s="1"/>
  <c r="J38" i="17"/>
  <c r="J39" i="17" s="1"/>
  <c r="J40" i="17" s="1"/>
  <c r="I38" i="17"/>
  <c r="I39" i="17" s="1"/>
  <c r="I40" i="17" s="1"/>
  <c r="H38" i="17"/>
  <c r="H39" i="17" s="1"/>
  <c r="H40" i="17" s="1"/>
  <c r="G38" i="17"/>
  <c r="G39" i="17" s="1"/>
  <c r="G40" i="17" s="1"/>
  <c r="F38" i="17"/>
  <c r="F39" i="17" s="1"/>
  <c r="F40" i="17" s="1"/>
  <c r="E38" i="17"/>
  <c r="E39" i="17" s="1"/>
  <c r="E40" i="17" s="1"/>
  <c r="D38" i="17"/>
  <c r="D39" i="17" s="1"/>
  <c r="D40" i="17" s="1"/>
  <c r="C38" i="17"/>
  <c r="C39" i="17" s="1"/>
  <c r="C40" i="17" s="1"/>
  <c r="N48" i="16"/>
  <c r="M48" i="16"/>
  <c r="L48" i="16"/>
  <c r="K48" i="16"/>
  <c r="J48" i="16"/>
  <c r="I48" i="16"/>
  <c r="H48" i="16"/>
  <c r="G48" i="16"/>
  <c r="F48" i="16"/>
  <c r="E48" i="16"/>
  <c r="D48" i="16"/>
  <c r="C48" i="16"/>
  <c r="N47" i="16"/>
  <c r="M47" i="16"/>
  <c r="L47" i="16"/>
  <c r="K47" i="16"/>
  <c r="J47" i="16"/>
  <c r="I47" i="16"/>
  <c r="H47" i="16"/>
  <c r="G47" i="16"/>
  <c r="F47" i="16"/>
  <c r="E47" i="16"/>
  <c r="D47" i="16"/>
  <c r="C47" i="16"/>
  <c r="N42" i="16"/>
  <c r="M42" i="16"/>
  <c r="L42" i="16"/>
  <c r="K42" i="16"/>
  <c r="J42" i="16"/>
  <c r="I42" i="16"/>
  <c r="H42" i="16"/>
  <c r="G42" i="16"/>
  <c r="F42" i="16"/>
  <c r="E42" i="16"/>
  <c r="D42" i="16"/>
  <c r="C42" i="16"/>
  <c r="N41" i="16"/>
  <c r="M41" i="16"/>
  <c r="L41" i="16"/>
  <c r="K41" i="16"/>
  <c r="J41" i="16"/>
  <c r="I41" i="16"/>
  <c r="H41" i="16"/>
  <c r="G41" i="16"/>
  <c r="F41" i="16"/>
  <c r="E41" i="16"/>
  <c r="D41" i="16"/>
  <c r="C41" i="16"/>
  <c r="N38" i="16"/>
  <c r="N39" i="16" s="1"/>
  <c r="N40" i="16" s="1"/>
  <c r="M38" i="16"/>
  <c r="M39" i="16" s="1"/>
  <c r="M40" i="16" s="1"/>
  <c r="L38" i="16"/>
  <c r="L39" i="16" s="1"/>
  <c r="L40" i="16" s="1"/>
  <c r="K38" i="16"/>
  <c r="K39" i="16" s="1"/>
  <c r="K40" i="16" s="1"/>
  <c r="J38" i="16"/>
  <c r="J39" i="16" s="1"/>
  <c r="J40" i="16" s="1"/>
  <c r="I38" i="16"/>
  <c r="I39" i="16" s="1"/>
  <c r="I40" i="16" s="1"/>
  <c r="H38" i="16"/>
  <c r="H39" i="16" s="1"/>
  <c r="H40" i="16" s="1"/>
  <c r="G38" i="16"/>
  <c r="G39" i="16" s="1"/>
  <c r="G40" i="16" s="1"/>
  <c r="F38" i="16"/>
  <c r="F39" i="16" s="1"/>
  <c r="F40" i="16" s="1"/>
  <c r="E38" i="16"/>
  <c r="E39" i="16" s="1"/>
  <c r="E40" i="16" s="1"/>
  <c r="D38" i="16"/>
  <c r="D39" i="16" s="1"/>
  <c r="D40" i="16" s="1"/>
  <c r="C38" i="16"/>
  <c r="C39" i="16" s="1"/>
  <c r="C40" i="16" s="1"/>
  <c r="N48" i="15"/>
  <c r="M48" i="15"/>
  <c r="L48" i="15"/>
  <c r="K48" i="15"/>
  <c r="J48" i="15"/>
  <c r="I48" i="15"/>
  <c r="H48" i="15"/>
  <c r="G48" i="15"/>
  <c r="F48" i="15"/>
  <c r="E48" i="15"/>
  <c r="D48" i="15"/>
  <c r="C48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N42" i="15"/>
  <c r="M42" i="15"/>
  <c r="L42" i="15"/>
  <c r="K42" i="15"/>
  <c r="J42" i="15"/>
  <c r="I42" i="15"/>
  <c r="H42" i="15"/>
  <c r="G42" i="15"/>
  <c r="F42" i="15"/>
  <c r="E42" i="15"/>
  <c r="D42" i="15"/>
  <c r="C42" i="15"/>
  <c r="N41" i="15"/>
  <c r="M41" i="15"/>
  <c r="L41" i="15"/>
  <c r="K41" i="15"/>
  <c r="J41" i="15"/>
  <c r="I41" i="15"/>
  <c r="H41" i="15"/>
  <c r="G41" i="15"/>
  <c r="F41" i="15"/>
  <c r="E41" i="15"/>
  <c r="D41" i="15"/>
  <c r="C41" i="15"/>
  <c r="N38" i="15"/>
  <c r="N39" i="15" s="1"/>
  <c r="N40" i="15" s="1"/>
  <c r="M38" i="15"/>
  <c r="M39" i="15" s="1"/>
  <c r="M40" i="15" s="1"/>
  <c r="L38" i="15"/>
  <c r="L39" i="15" s="1"/>
  <c r="L40" i="15" s="1"/>
  <c r="K38" i="15"/>
  <c r="K39" i="15" s="1"/>
  <c r="K40" i="15" s="1"/>
  <c r="J38" i="15"/>
  <c r="J39" i="15" s="1"/>
  <c r="J40" i="15" s="1"/>
  <c r="I38" i="15"/>
  <c r="I39" i="15" s="1"/>
  <c r="I40" i="15" s="1"/>
  <c r="H38" i="15"/>
  <c r="H39" i="15" s="1"/>
  <c r="H40" i="15" s="1"/>
  <c r="G38" i="15"/>
  <c r="G39" i="15" s="1"/>
  <c r="G40" i="15" s="1"/>
  <c r="F38" i="15"/>
  <c r="F39" i="15" s="1"/>
  <c r="F40" i="15" s="1"/>
  <c r="E38" i="15"/>
  <c r="E39" i="15" s="1"/>
  <c r="E40" i="15" s="1"/>
  <c r="D38" i="15"/>
  <c r="D39" i="15" s="1"/>
  <c r="D40" i="15" s="1"/>
  <c r="C38" i="15"/>
  <c r="C39" i="15" s="1"/>
  <c r="C40" i="15" s="1"/>
  <c r="N48" i="14"/>
  <c r="M48" i="14"/>
  <c r="L48" i="14"/>
  <c r="K48" i="14"/>
  <c r="J48" i="14"/>
  <c r="I48" i="14"/>
  <c r="H48" i="14"/>
  <c r="G48" i="14"/>
  <c r="F48" i="14"/>
  <c r="E48" i="14"/>
  <c r="D48" i="14"/>
  <c r="C48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N42" i="14"/>
  <c r="M42" i="14"/>
  <c r="L42" i="14"/>
  <c r="K42" i="14"/>
  <c r="J42" i="14"/>
  <c r="I42" i="14"/>
  <c r="H42" i="14"/>
  <c r="G42" i="14"/>
  <c r="F42" i="14"/>
  <c r="E42" i="14"/>
  <c r="D42" i="14"/>
  <c r="C42" i="14"/>
  <c r="N41" i="14"/>
  <c r="M41" i="14"/>
  <c r="L41" i="14"/>
  <c r="K41" i="14"/>
  <c r="J41" i="14"/>
  <c r="I41" i="14"/>
  <c r="H41" i="14"/>
  <c r="G41" i="14"/>
  <c r="F41" i="14"/>
  <c r="E41" i="14"/>
  <c r="D41" i="14"/>
  <c r="C41" i="14"/>
  <c r="N38" i="14"/>
  <c r="N39" i="14" s="1"/>
  <c r="N40" i="14" s="1"/>
  <c r="M38" i="14"/>
  <c r="M39" i="14" s="1"/>
  <c r="M40" i="14" s="1"/>
  <c r="L38" i="14"/>
  <c r="L39" i="14" s="1"/>
  <c r="L40" i="14" s="1"/>
  <c r="K38" i="14"/>
  <c r="K39" i="14" s="1"/>
  <c r="K40" i="14" s="1"/>
  <c r="J38" i="14"/>
  <c r="J39" i="14" s="1"/>
  <c r="J40" i="14" s="1"/>
  <c r="I38" i="14"/>
  <c r="I39" i="14" s="1"/>
  <c r="I40" i="14" s="1"/>
  <c r="H38" i="14"/>
  <c r="H39" i="14" s="1"/>
  <c r="H40" i="14" s="1"/>
  <c r="G38" i="14"/>
  <c r="G39" i="14" s="1"/>
  <c r="G40" i="14" s="1"/>
  <c r="F38" i="14"/>
  <c r="F39" i="14" s="1"/>
  <c r="F40" i="14" s="1"/>
  <c r="E38" i="14"/>
  <c r="E39" i="14" s="1"/>
  <c r="E40" i="14" s="1"/>
  <c r="D38" i="14"/>
  <c r="D39" i="14" s="1"/>
  <c r="D40" i="14" s="1"/>
  <c r="C38" i="14"/>
  <c r="C39" i="14" s="1"/>
  <c r="C40" i="14" s="1"/>
  <c r="N48" i="13"/>
  <c r="M48" i="13"/>
  <c r="L48" i="13"/>
  <c r="K48" i="13"/>
  <c r="J48" i="13"/>
  <c r="I48" i="13"/>
  <c r="H48" i="13"/>
  <c r="G48" i="13"/>
  <c r="F48" i="13"/>
  <c r="E48" i="13"/>
  <c r="D48" i="13"/>
  <c r="C48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N38" i="13"/>
  <c r="N39" i="13" s="1"/>
  <c r="N40" i="13" s="1"/>
  <c r="M38" i="13"/>
  <c r="M39" i="13" s="1"/>
  <c r="M40" i="13" s="1"/>
  <c r="L38" i="13"/>
  <c r="L39" i="13" s="1"/>
  <c r="L40" i="13" s="1"/>
  <c r="K38" i="13"/>
  <c r="K39" i="13" s="1"/>
  <c r="K40" i="13" s="1"/>
  <c r="J38" i="13"/>
  <c r="J39" i="13" s="1"/>
  <c r="J40" i="13" s="1"/>
  <c r="I38" i="13"/>
  <c r="I39" i="13" s="1"/>
  <c r="I40" i="13" s="1"/>
  <c r="H38" i="13"/>
  <c r="H39" i="13" s="1"/>
  <c r="H40" i="13" s="1"/>
  <c r="G38" i="13"/>
  <c r="G39" i="13" s="1"/>
  <c r="F38" i="13"/>
  <c r="F39" i="13" s="1"/>
  <c r="F40" i="13" s="1"/>
  <c r="E38" i="13"/>
  <c r="E39" i="13" s="1"/>
  <c r="E40" i="13" s="1"/>
  <c r="D38" i="13"/>
  <c r="D39" i="13" s="1"/>
  <c r="D40" i="13" s="1"/>
  <c r="C38" i="13"/>
  <c r="C39" i="13" s="1"/>
  <c r="C40" i="13" s="1"/>
  <c r="N48" i="12"/>
  <c r="M48" i="12"/>
  <c r="L48" i="12"/>
  <c r="K48" i="12"/>
  <c r="J48" i="12"/>
  <c r="I48" i="12"/>
  <c r="H48" i="12"/>
  <c r="G48" i="12"/>
  <c r="F48" i="12"/>
  <c r="E48" i="12"/>
  <c r="D48" i="12"/>
  <c r="C48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N38" i="12"/>
  <c r="N39" i="12" s="1"/>
  <c r="N40" i="12" s="1"/>
  <c r="M38" i="12"/>
  <c r="M39" i="12" s="1"/>
  <c r="M40" i="12" s="1"/>
  <c r="L38" i="12"/>
  <c r="L39" i="12" s="1"/>
  <c r="L40" i="12" s="1"/>
  <c r="K38" i="12"/>
  <c r="K39" i="12" s="1"/>
  <c r="K40" i="12" s="1"/>
  <c r="J38" i="12"/>
  <c r="J39" i="12" s="1"/>
  <c r="J40" i="12" s="1"/>
  <c r="I38" i="12"/>
  <c r="I39" i="12" s="1"/>
  <c r="I40" i="12" s="1"/>
  <c r="H38" i="12"/>
  <c r="H39" i="12" s="1"/>
  <c r="H40" i="12" s="1"/>
  <c r="G38" i="12"/>
  <c r="G39" i="12" s="1"/>
  <c r="G40" i="12" s="1"/>
  <c r="F38" i="12"/>
  <c r="F39" i="12" s="1"/>
  <c r="F40" i="12" s="1"/>
  <c r="E38" i="12"/>
  <c r="E39" i="12" s="1"/>
  <c r="E40" i="12" s="1"/>
  <c r="D38" i="12"/>
  <c r="D39" i="12" s="1"/>
  <c r="D40" i="12" s="1"/>
  <c r="C38" i="12"/>
  <c r="C39" i="12" s="1"/>
  <c r="C40" i="12" s="1"/>
  <c r="N48" i="11"/>
  <c r="M48" i="11"/>
  <c r="L48" i="11"/>
  <c r="K48" i="11"/>
  <c r="J48" i="11"/>
  <c r="I48" i="11"/>
  <c r="H48" i="11"/>
  <c r="G48" i="11"/>
  <c r="F48" i="11"/>
  <c r="E48" i="11"/>
  <c r="D48" i="11"/>
  <c r="C48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N42" i="11"/>
  <c r="L42" i="11"/>
  <c r="K42" i="11"/>
  <c r="J42" i="11"/>
  <c r="I42" i="11"/>
  <c r="H42" i="11"/>
  <c r="G42" i="11"/>
  <c r="F42" i="11"/>
  <c r="E42" i="11"/>
  <c r="D42" i="11"/>
  <c r="C42" i="11"/>
  <c r="N41" i="11"/>
  <c r="L41" i="11"/>
  <c r="K41" i="11"/>
  <c r="J41" i="11"/>
  <c r="I41" i="11"/>
  <c r="H41" i="11"/>
  <c r="G41" i="11"/>
  <c r="F41" i="11"/>
  <c r="E41" i="11"/>
  <c r="D41" i="11"/>
  <c r="C41" i="11"/>
  <c r="N38" i="11"/>
  <c r="N39" i="11" s="1"/>
  <c r="N40" i="11" s="1"/>
  <c r="M38" i="11"/>
  <c r="M40" i="11" s="1"/>
  <c r="L38" i="11"/>
  <c r="L39" i="11" s="1"/>
  <c r="L40" i="11" s="1"/>
  <c r="K38" i="11"/>
  <c r="K39" i="11" s="1"/>
  <c r="K40" i="11" s="1"/>
  <c r="J38" i="11"/>
  <c r="J39" i="11" s="1"/>
  <c r="J40" i="11" s="1"/>
  <c r="I38" i="11"/>
  <c r="I39" i="11" s="1"/>
  <c r="I40" i="11" s="1"/>
  <c r="H38" i="11"/>
  <c r="H39" i="11" s="1"/>
  <c r="H40" i="11" s="1"/>
  <c r="G38" i="11"/>
  <c r="G39" i="11" s="1"/>
  <c r="G40" i="11" s="1"/>
  <c r="F38" i="11"/>
  <c r="F39" i="11" s="1"/>
  <c r="F40" i="11" s="1"/>
  <c r="E38" i="11"/>
  <c r="E39" i="11" s="1"/>
  <c r="E40" i="11" s="1"/>
  <c r="D38" i="11"/>
  <c r="D39" i="11" s="1"/>
  <c r="D40" i="11" s="1"/>
  <c r="C38" i="11"/>
  <c r="C39" i="11" s="1"/>
  <c r="C40" i="11" s="1"/>
  <c r="N48" i="10"/>
  <c r="M48" i="10"/>
  <c r="L48" i="10"/>
  <c r="K48" i="10"/>
  <c r="J48" i="10"/>
  <c r="I48" i="10"/>
  <c r="H48" i="10"/>
  <c r="G48" i="10"/>
  <c r="F48" i="10"/>
  <c r="E48" i="10"/>
  <c r="D48" i="10"/>
  <c r="C48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N42" i="10"/>
  <c r="L42" i="10"/>
  <c r="K42" i="10"/>
  <c r="J42" i="10"/>
  <c r="I42" i="10"/>
  <c r="H42" i="10"/>
  <c r="G42" i="10"/>
  <c r="F42" i="10"/>
  <c r="E42" i="10"/>
  <c r="D42" i="10"/>
  <c r="C42" i="10"/>
  <c r="N41" i="10"/>
  <c r="L41" i="10"/>
  <c r="K41" i="10"/>
  <c r="J41" i="10"/>
  <c r="I41" i="10"/>
  <c r="H41" i="10"/>
  <c r="G41" i="10"/>
  <c r="F41" i="10"/>
  <c r="E41" i="10"/>
  <c r="D41" i="10"/>
  <c r="C41" i="10"/>
  <c r="N38" i="10"/>
  <c r="N39" i="10" s="1"/>
  <c r="M38" i="10"/>
  <c r="M40" i="10" s="1"/>
  <c r="L38" i="10"/>
  <c r="L39" i="10" s="1"/>
  <c r="L40" i="10" s="1"/>
  <c r="K38" i="10"/>
  <c r="K39" i="10" s="1"/>
  <c r="K40" i="10" s="1"/>
  <c r="J38" i="10"/>
  <c r="J39" i="10" s="1"/>
  <c r="J40" i="10" s="1"/>
  <c r="I38" i="10"/>
  <c r="I39" i="10" s="1"/>
  <c r="I40" i="10" s="1"/>
  <c r="H38" i="10"/>
  <c r="H39" i="10" s="1"/>
  <c r="H40" i="10" s="1"/>
  <c r="G38" i="10"/>
  <c r="G39" i="10" s="1"/>
  <c r="F38" i="10"/>
  <c r="F39" i="10" s="1"/>
  <c r="F40" i="10" s="1"/>
  <c r="E38" i="10"/>
  <c r="E39" i="10" s="1"/>
  <c r="E40" i="10" s="1"/>
  <c r="D38" i="10"/>
  <c r="D39" i="10" s="1"/>
  <c r="D40" i="10" s="1"/>
  <c r="C38" i="10"/>
  <c r="C39" i="10" s="1"/>
  <c r="C40" i="10" s="1"/>
  <c r="N48" i="9"/>
  <c r="M48" i="9"/>
  <c r="L48" i="9"/>
  <c r="K48" i="9"/>
  <c r="J48" i="9"/>
  <c r="I48" i="9"/>
  <c r="H48" i="9"/>
  <c r="G48" i="9"/>
  <c r="F48" i="9"/>
  <c r="E48" i="9"/>
  <c r="D48" i="9"/>
  <c r="C48" i="9"/>
  <c r="N47" i="9"/>
  <c r="M47" i="9"/>
  <c r="L47" i="9"/>
  <c r="K47" i="9"/>
  <c r="J47" i="9"/>
  <c r="I47" i="9"/>
  <c r="H47" i="9"/>
  <c r="G47" i="9"/>
  <c r="F47" i="9"/>
  <c r="E47" i="9"/>
  <c r="D47" i="9"/>
  <c r="C47" i="9"/>
  <c r="N42" i="9"/>
  <c r="L42" i="9"/>
  <c r="K42" i="9"/>
  <c r="J42" i="9"/>
  <c r="I42" i="9"/>
  <c r="H42" i="9"/>
  <c r="G42" i="9"/>
  <c r="F42" i="9"/>
  <c r="E42" i="9"/>
  <c r="D42" i="9"/>
  <c r="C42" i="9"/>
  <c r="N41" i="9"/>
  <c r="L41" i="9"/>
  <c r="K41" i="9"/>
  <c r="J41" i="9"/>
  <c r="I41" i="9"/>
  <c r="H41" i="9"/>
  <c r="G41" i="9"/>
  <c r="F41" i="9"/>
  <c r="E41" i="9"/>
  <c r="D41" i="9"/>
  <c r="C41" i="9"/>
  <c r="N38" i="9"/>
  <c r="N39" i="9" s="1"/>
  <c r="M38" i="9"/>
  <c r="M40" i="9" s="1"/>
  <c r="L38" i="9"/>
  <c r="L39" i="9" s="1"/>
  <c r="L40" i="9" s="1"/>
  <c r="K38" i="9"/>
  <c r="K39" i="9" s="1"/>
  <c r="K40" i="9" s="1"/>
  <c r="J38" i="9"/>
  <c r="J39" i="9" s="1"/>
  <c r="J40" i="9" s="1"/>
  <c r="I38" i="9"/>
  <c r="I39" i="9" s="1"/>
  <c r="I40" i="9" s="1"/>
  <c r="H38" i="9"/>
  <c r="H39" i="9" s="1"/>
  <c r="H40" i="9" s="1"/>
  <c r="G38" i="9"/>
  <c r="G39" i="9" s="1"/>
  <c r="G40" i="9" s="1"/>
  <c r="F38" i="9"/>
  <c r="F39" i="9" s="1"/>
  <c r="F40" i="9" s="1"/>
  <c r="E38" i="9"/>
  <c r="E39" i="9" s="1"/>
  <c r="E40" i="9" s="1"/>
  <c r="D38" i="9"/>
  <c r="D39" i="9" s="1"/>
  <c r="D40" i="9" s="1"/>
  <c r="C38" i="9"/>
  <c r="C39" i="9" s="1"/>
  <c r="C40" i="9" s="1"/>
  <c r="N48" i="8"/>
  <c r="M48" i="8"/>
  <c r="L48" i="8"/>
  <c r="K48" i="8"/>
  <c r="J48" i="8"/>
  <c r="I48" i="8"/>
  <c r="H48" i="8"/>
  <c r="G48" i="8"/>
  <c r="F48" i="8"/>
  <c r="E48" i="8"/>
  <c r="D48" i="8"/>
  <c r="C48" i="8"/>
  <c r="N47" i="8"/>
  <c r="M47" i="8"/>
  <c r="L47" i="8"/>
  <c r="K47" i="8"/>
  <c r="J47" i="8"/>
  <c r="I47" i="8"/>
  <c r="H47" i="8"/>
  <c r="G47" i="8"/>
  <c r="F47" i="8"/>
  <c r="E47" i="8"/>
  <c r="D47" i="8"/>
  <c r="C47" i="8"/>
  <c r="N42" i="8"/>
  <c r="M42" i="8"/>
  <c r="L42" i="8"/>
  <c r="K42" i="8"/>
  <c r="J42" i="8"/>
  <c r="I42" i="8"/>
  <c r="H42" i="8"/>
  <c r="G42" i="8"/>
  <c r="F42" i="8"/>
  <c r="E42" i="8"/>
  <c r="D42" i="8"/>
  <c r="C42" i="8"/>
  <c r="N41" i="8"/>
  <c r="M41" i="8"/>
  <c r="L41" i="8"/>
  <c r="K41" i="8"/>
  <c r="J41" i="8"/>
  <c r="I41" i="8"/>
  <c r="H41" i="8"/>
  <c r="G41" i="8"/>
  <c r="F41" i="8"/>
  <c r="E41" i="8"/>
  <c r="D41" i="8"/>
  <c r="C41" i="8"/>
  <c r="N38" i="8"/>
  <c r="N39" i="8" s="1"/>
  <c r="N40" i="8" s="1"/>
  <c r="M38" i="8"/>
  <c r="M39" i="8" s="1"/>
  <c r="M40" i="8" s="1"/>
  <c r="L38" i="8"/>
  <c r="L39" i="8" s="1"/>
  <c r="L40" i="8" s="1"/>
  <c r="K38" i="8"/>
  <c r="K39" i="8" s="1"/>
  <c r="K40" i="8" s="1"/>
  <c r="J38" i="8"/>
  <c r="J39" i="8" s="1"/>
  <c r="J40" i="8" s="1"/>
  <c r="I38" i="8"/>
  <c r="I39" i="8" s="1"/>
  <c r="I40" i="8" s="1"/>
  <c r="H38" i="8"/>
  <c r="H39" i="8" s="1"/>
  <c r="H40" i="8" s="1"/>
  <c r="G38" i="8"/>
  <c r="G39" i="8" s="1"/>
  <c r="G40" i="8" s="1"/>
  <c r="F38" i="8"/>
  <c r="F39" i="8" s="1"/>
  <c r="F40" i="8" s="1"/>
  <c r="E38" i="8"/>
  <c r="E39" i="8" s="1"/>
  <c r="E40" i="8" s="1"/>
  <c r="D38" i="8"/>
  <c r="D39" i="8" s="1"/>
  <c r="D40" i="8" s="1"/>
  <c r="C38" i="8"/>
  <c r="C39" i="8" s="1"/>
  <c r="C40" i="8" s="1"/>
  <c r="N48" i="7"/>
  <c r="M48" i="7"/>
  <c r="L48" i="7"/>
  <c r="K48" i="7"/>
  <c r="J48" i="7"/>
  <c r="I48" i="7"/>
  <c r="H48" i="7"/>
  <c r="G48" i="7"/>
  <c r="F48" i="7"/>
  <c r="E48" i="7"/>
  <c r="D48" i="7"/>
  <c r="C48" i="7"/>
  <c r="N47" i="7"/>
  <c r="M47" i="7"/>
  <c r="L47" i="7"/>
  <c r="K47" i="7"/>
  <c r="J47" i="7"/>
  <c r="I47" i="7"/>
  <c r="H47" i="7"/>
  <c r="G47" i="7"/>
  <c r="F47" i="7"/>
  <c r="E47" i="7"/>
  <c r="D47" i="7"/>
  <c r="C47" i="7"/>
  <c r="N42" i="7"/>
  <c r="M42" i="7"/>
  <c r="L42" i="7"/>
  <c r="K42" i="7"/>
  <c r="J42" i="7"/>
  <c r="I42" i="7"/>
  <c r="H42" i="7"/>
  <c r="G42" i="7"/>
  <c r="F42" i="7"/>
  <c r="E42" i="7"/>
  <c r="D42" i="7"/>
  <c r="C42" i="7"/>
  <c r="N41" i="7"/>
  <c r="M41" i="7"/>
  <c r="L41" i="7"/>
  <c r="K41" i="7"/>
  <c r="J41" i="7"/>
  <c r="I41" i="7"/>
  <c r="H41" i="7"/>
  <c r="G41" i="7"/>
  <c r="F41" i="7"/>
  <c r="E41" i="7"/>
  <c r="D41" i="7"/>
  <c r="C41" i="7"/>
  <c r="N38" i="7"/>
  <c r="N39" i="7" s="1"/>
  <c r="N40" i="7" s="1"/>
  <c r="M38" i="7"/>
  <c r="M39" i="7" s="1"/>
  <c r="M40" i="7" s="1"/>
  <c r="L38" i="7"/>
  <c r="L39" i="7" s="1"/>
  <c r="L40" i="7" s="1"/>
  <c r="K38" i="7"/>
  <c r="K39" i="7" s="1"/>
  <c r="K40" i="7" s="1"/>
  <c r="J38" i="7"/>
  <c r="J39" i="7" s="1"/>
  <c r="J40" i="7" s="1"/>
  <c r="I38" i="7"/>
  <c r="I39" i="7" s="1"/>
  <c r="I40" i="7" s="1"/>
  <c r="H38" i="7"/>
  <c r="H39" i="7" s="1"/>
  <c r="H40" i="7" s="1"/>
  <c r="G38" i="7"/>
  <c r="G39" i="7" s="1"/>
  <c r="G40" i="7" s="1"/>
  <c r="F38" i="7"/>
  <c r="F39" i="7" s="1"/>
  <c r="F40" i="7" s="1"/>
  <c r="E38" i="7"/>
  <c r="E39" i="7" s="1"/>
  <c r="E40" i="7" s="1"/>
  <c r="D38" i="7"/>
  <c r="D39" i="7" s="1"/>
  <c r="D40" i="7" s="1"/>
  <c r="C38" i="7"/>
  <c r="C39" i="7" s="1"/>
  <c r="C40" i="7" s="1"/>
  <c r="N48" i="6"/>
  <c r="M48" i="6"/>
  <c r="L48" i="6"/>
  <c r="K48" i="6"/>
  <c r="J48" i="6"/>
  <c r="I48" i="6"/>
  <c r="H48" i="6"/>
  <c r="G48" i="6"/>
  <c r="F48" i="6"/>
  <c r="E48" i="6"/>
  <c r="D48" i="6"/>
  <c r="C48" i="6"/>
  <c r="N47" i="6"/>
  <c r="M47" i="6"/>
  <c r="L47" i="6"/>
  <c r="K47" i="6"/>
  <c r="J47" i="6"/>
  <c r="I47" i="6"/>
  <c r="H47" i="6"/>
  <c r="G47" i="6"/>
  <c r="F47" i="6"/>
  <c r="E47" i="6"/>
  <c r="D47" i="6"/>
  <c r="C47" i="6"/>
  <c r="N42" i="6"/>
  <c r="M42" i="6"/>
  <c r="L42" i="6"/>
  <c r="K42" i="6"/>
  <c r="J42" i="6"/>
  <c r="I42" i="6"/>
  <c r="H42" i="6"/>
  <c r="G42" i="6"/>
  <c r="F42" i="6"/>
  <c r="E42" i="6"/>
  <c r="D42" i="6"/>
  <c r="C42" i="6"/>
  <c r="N41" i="6"/>
  <c r="M41" i="6"/>
  <c r="L41" i="6"/>
  <c r="K41" i="6"/>
  <c r="J41" i="6"/>
  <c r="I41" i="6"/>
  <c r="H41" i="6"/>
  <c r="G41" i="6"/>
  <c r="F41" i="6"/>
  <c r="E41" i="6"/>
  <c r="D41" i="6"/>
  <c r="C41" i="6"/>
  <c r="N38" i="6"/>
  <c r="N39" i="6" s="1"/>
  <c r="N40" i="6" s="1"/>
  <c r="M38" i="6"/>
  <c r="M39" i="6" s="1"/>
  <c r="M40" i="6" s="1"/>
  <c r="L38" i="6"/>
  <c r="L39" i="6" s="1"/>
  <c r="L40" i="6" s="1"/>
  <c r="K38" i="6"/>
  <c r="K39" i="6" s="1"/>
  <c r="K40" i="6" s="1"/>
  <c r="J38" i="6"/>
  <c r="J39" i="6" s="1"/>
  <c r="J40" i="6" s="1"/>
  <c r="I38" i="6"/>
  <c r="I39" i="6" s="1"/>
  <c r="I40" i="6" s="1"/>
  <c r="H38" i="6"/>
  <c r="H39" i="6" s="1"/>
  <c r="H40" i="6" s="1"/>
  <c r="G38" i="6"/>
  <c r="G39" i="6" s="1"/>
  <c r="G40" i="6" s="1"/>
  <c r="F38" i="6"/>
  <c r="F39" i="6" s="1"/>
  <c r="F40" i="6" s="1"/>
  <c r="E38" i="6"/>
  <c r="E39" i="6" s="1"/>
  <c r="E40" i="6" s="1"/>
  <c r="D38" i="6"/>
  <c r="D39" i="6" s="1"/>
  <c r="D40" i="6" s="1"/>
  <c r="C38" i="6"/>
  <c r="C39" i="6" s="1"/>
  <c r="C40" i="6" s="1"/>
  <c r="N48" i="5"/>
  <c r="M48" i="5"/>
  <c r="L48" i="5"/>
  <c r="K48" i="5"/>
  <c r="J48" i="5"/>
  <c r="I48" i="5"/>
  <c r="H48" i="5"/>
  <c r="G48" i="5"/>
  <c r="F48" i="5"/>
  <c r="E48" i="5"/>
  <c r="D48" i="5"/>
  <c r="C48" i="5"/>
  <c r="N47" i="5"/>
  <c r="M47" i="5"/>
  <c r="L47" i="5"/>
  <c r="K47" i="5"/>
  <c r="J47" i="5"/>
  <c r="I47" i="5"/>
  <c r="H47" i="5"/>
  <c r="G47" i="5"/>
  <c r="F47" i="5"/>
  <c r="E47" i="5"/>
  <c r="D47" i="5"/>
  <c r="C47" i="5"/>
  <c r="N42" i="5"/>
  <c r="M42" i="5"/>
  <c r="L42" i="5"/>
  <c r="K42" i="5"/>
  <c r="J42" i="5"/>
  <c r="I42" i="5"/>
  <c r="H42" i="5"/>
  <c r="G42" i="5"/>
  <c r="F42" i="5"/>
  <c r="E42" i="5"/>
  <c r="D42" i="5"/>
  <c r="C42" i="5"/>
  <c r="N41" i="5"/>
  <c r="M41" i="5"/>
  <c r="L41" i="5"/>
  <c r="K41" i="5"/>
  <c r="J41" i="5"/>
  <c r="I41" i="5"/>
  <c r="H41" i="5"/>
  <c r="G41" i="5"/>
  <c r="F41" i="5"/>
  <c r="E41" i="5"/>
  <c r="D41" i="5"/>
  <c r="C41" i="5"/>
  <c r="N38" i="5"/>
  <c r="N39" i="5" s="1"/>
  <c r="N40" i="5" s="1"/>
  <c r="M38" i="5"/>
  <c r="M39" i="5" s="1"/>
  <c r="M40" i="5" s="1"/>
  <c r="L38" i="5"/>
  <c r="L39" i="5" s="1"/>
  <c r="L40" i="5" s="1"/>
  <c r="K38" i="5"/>
  <c r="K39" i="5" s="1"/>
  <c r="K40" i="5" s="1"/>
  <c r="J38" i="5"/>
  <c r="J39" i="5" s="1"/>
  <c r="J40" i="5" s="1"/>
  <c r="I38" i="5"/>
  <c r="I39" i="5" s="1"/>
  <c r="I40" i="5" s="1"/>
  <c r="H38" i="5"/>
  <c r="H39" i="5" s="1"/>
  <c r="H40" i="5" s="1"/>
  <c r="G38" i="5"/>
  <c r="G39" i="5" s="1"/>
  <c r="G40" i="5" s="1"/>
  <c r="F38" i="5"/>
  <c r="F39" i="5" s="1"/>
  <c r="F40" i="5" s="1"/>
  <c r="E38" i="5"/>
  <c r="E39" i="5" s="1"/>
  <c r="E40" i="5" s="1"/>
  <c r="D38" i="5"/>
  <c r="D39" i="5" s="1"/>
  <c r="D40" i="5" s="1"/>
  <c r="C38" i="5"/>
  <c r="C39" i="5" s="1"/>
  <c r="C40" i="5" s="1"/>
  <c r="N48" i="4"/>
  <c r="M48" i="4"/>
  <c r="L48" i="4"/>
  <c r="K48" i="4"/>
  <c r="J48" i="4"/>
  <c r="I48" i="4"/>
  <c r="H48" i="4"/>
  <c r="G48" i="4"/>
  <c r="F48" i="4"/>
  <c r="E48" i="4"/>
  <c r="D48" i="4"/>
  <c r="C48" i="4"/>
  <c r="N47" i="4"/>
  <c r="M47" i="4"/>
  <c r="L47" i="4"/>
  <c r="K47" i="4"/>
  <c r="J47" i="4"/>
  <c r="I47" i="4"/>
  <c r="H47" i="4"/>
  <c r="G47" i="4"/>
  <c r="F47" i="4"/>
  <c r="E47" i="4"/>
  <c r="D47" i="4"/>
  <c r="C47" i="4"/>
  <c r="N42" i="4"/>
  <c r="M42" i="4"/>
  <c r="L42" i="4"/>
  <c r="K42" i="4"/>
  <c r="J42" i="4"/>
  <c r="I42" i="4"/>
  <c r="H42" i="4"/>
  <c r="G42" i="4"/>
  <c r="F42" i="4"/>
  <c r="E42" i="4"/>
  <c r="D42" i="4"/>
  <c r="C42" i="4"/>
  <c r="N41" i="4"/>
  <c r="M41" i="4"/>
  <c r="L41" i="4"/>
  <c r="K41" i="4"/>
  <c r="J41" i="4"/>
  <c r="I41" i="4"/>
  <c r="H41" i="4"/>
  <c r="G41" i="4"/>
  <c r="F41" i="4"/>
  <c r="E41" i="4"/>
  <c r="D41" i="4"/>
  <c r="C41" i="4"/>
  <c r="N38" i="4"/>
  <c r="N39" i="4" s="1"/>
  <c r="N40" i="4" s="1"/>
  <c r="M38" i="4"/>
  <c r="M39" i="4" s="1"/>
  <c r="M40" i="4" s="1"/>
  <c r="L38" i="4"/>
  <c r="L39" i="4" s="1"/>
  <c r="L40" i="4" s="1"/>
  <c r="K38" i="4"/>
  <c r="K39" i="4" s="1"/>
  <c r="K40" i="4" s="1"/>
  <c r="J38" i="4"/>
  <c r="J39" i="4" s="1"/>
  <c r="J40" i="4" s="1"/>
  <c r="I38" i="4"/>
  <c r="I39" i="4" s="1"/>
  <c r="I40" i="4" s="1"/>
  <c r="H38" i="4"/>
  <c r="H39" i="4" s="1"/>
  <c r="H40" i="4" s="1"/>
  <c r="G38" i="4"/>
  <c r="G39" i="4" s="1"/>
  <c r="G40" i="4" s="1"/>
  <c r="F38" i="4"/>
  <c r="F39" i="4" s="1"/>
  <c r="F40" i="4" s="1"/>
  <c r="E38" i="4"/>
  <c r="E39" i="4" s="1"/>
  <c r="E40" i="4" s="1"/>
  <c r="D38" i="4"/>
  <c r="D39" i="4" s="1"/>
  <c r="D40" i="4" s="1"/>
  <c r="C38" i="4"/>
  <c r="C39" i="4" s="1"/>
  <c r="C40" i="4" s="1"/>
  <c r="N48" i="3"/>
  <c r="M48" i="3"/>
  <c r="L48" i="3"/>
  <c r="K48" i="3"/>
  <c r="J48" i="3"/>
  <c r="I48" i="3"/>
  <c r="H48" i="3"/>
  <c r="G48" i="3"/>
  <c r="F48" i="3"/>
  <c r="E48" i="3"/>
  <c r="D48" i="3"/>
  <c r="C48" i="3"/>
  <c r="N47" i="3"/>
  <c r="M47" i="3"/>
  <c r="L47" i="3"/>
  <c r="K47" i="3"/>
  <c r="J47" i="3"/>
  <c r="I47" i="3"/>
  <c r="H47" i="3"/>
  <c r="G47" i="3"/>
  <c r="F47" i="3"/>
  <c r="E47" i="3"/>
  <c r="D47" i="3"/>
  <c r="C47" i="3"/>
  <c r="N42" i="3"/>
  <c r="M42" i="3"/>
  <c r="L42" i="3"/>
  <c r="K42" i="3"/>
  <c r="J42" i="3"/>
  <c r="I42" i="3"/>
  <c r="H42" i="3"/>
  <c r="G42" i="3"/>
  <c r="F42" i="3"/>
  <c r="E42" i="3"/>
  <c r="D42" i="3"/>
  <c r="C42" i="3"/>
  <c r="N41" i="3"/>
  <c r="M41" i="3"/>
  <c r="L41" i="3"/>
  <c r="K41" i="3"/>
  <c r="J41" i="3"/>
  <c r="I41" i="3"/>
  <c r="H41" i="3"/>
  <c r="G41" i="3"/>
  <c r="F41" i="3"/>
  <c r="E41" i="3"/>
  <c r="D41" i="3"/>
  <c r="C41" i="3"/>
  <c r="N38" i="3"/>
  <c r="N39" i="3" s="1"/>
  <c r="N40" i="3" s="1"/>
  <c r="M38" i="3"/>
  <c r="M39" i="3" s="1"/>
  <c r="M40" i="3" s="1"/>
  <c r="L38" i="3"/>
  <c r="L39" i="3" s="1"/>
  <c r="L40" i="3" s="1"/>
  <c r="K38" i="3"/>
  <c r="K39" i="3" s="1"/>
  <c r="K40" i="3" s="1"/>
  <c r="J38" i="3"/>
  <c r="J39" i="3" s="1"/>
  <c r="J40" i="3" s="1"/>
  <c r="I38" i="3"/>
  <c r="I39" i="3" s="1"/>
  <c r="I40" i="3" s="1"/>
  <c r="H38" i="3"/>
  <c r="H39" i="3" s="1"/>
  <c r="H40" i="3" s="1"/>
  <c r="G38" i="3"/>
  <c r="G39" i="3" s="1"/>
  <c r="G40" i="3" s="1"/>
  <c r="F38" i="3"/>
  <c r="F39" i="3" s="1"/>
  <c r="F40" i="3" s="1"/>
  <c r="E38" i="3"/>
  <c r="E39" i="3" s="1"/>
  <c r="E40" i="3" s="1"/>
  <c r="D38" i="3"/>
  <c r="D39" i="3" s="1"/>
  <c r="D40" i="3" s="1"/>
  <c r="C38" i="3"/>
  <c r="C39" i="3" s="1"/>
  <c r="C40" i="3" s="1"/>
  <c r="N48" i="1"/>
  <c r="M48" i="1"/>
  <c r="L48" i="1"/>
  <c r="K48" i="1"/>
  <c r="J48" i="1"/>
  <c r="I48" i="1"/>
  <c r="H48" i="1"/>
  <c r="G48" i="1"/>
  <c r="F48" i="1"/>
  <c r="E48" i="1"/>
  <c r="D48" i="1"/>
  <c r="C48" i="1"/>
  <c r="N47" i="1"/>
  <c r="M47" i="1"/>
  <c r="L47" i="1"/>
  <c r="K47" i="1"/>
  <c r="J47" i="1"/>
  <c r="I47" i="1"/>
  <c r="H47" i="1"/>
  <c r="G47" i="1"/>
  <c r="F47" i="1"/>
  <c r="E47" i="1"/>
  <c r="D47" i="1"/>
  <c r="C47" i="1"/>
  <c r="N42" i="1"/>
  <c r="M42" i="1"/>
  <c r="L42" i="1"/>
  <c r="K42" i="1"/>
  <c r="J42" i="1"/>
  <c r="I42" i="1"/>
  <c r="H42" i="1"/>
  <c r="G42" i="1"/>
  <c r="F42" i="1"/>
  <c r="E42" i="1"/>
  <c r="D42" i="1"/>
  <c r="C42" i="1"/>
  <c r="N41" i="1"/>
  <c r="M41" i="1"/>
  <c r="L41" i="1"/>
  <c r="K41" i="1"/>
  <c r="J41" i="1"/>
  <c r="I41" i="1"/>
  <c r="H41" i="1"/>
  <c r="G41" i="1"/>
  <c r="F41" i="1"/>
  <c r="E41" i="1"/>
  <c r="D41" i="1"/>
  <c r="C41" i="1"/>
  <c r="N38" i="1"/>
  <c r="N39" i="1" s="1"/>
  <c r="N40" i="1" s="1"/>
  <c r="M38" i="1"/>
  <c r="M39" i="1" s="1"/>
  <c r="M40" i="1" s="1"/>
  <c r="L38" i="1"/>
  <c r="L39" i="1" s="1"/>
  <c r="L40" i="1" s="1"/>
  <c r="K38" i="1"/>
  <c r="K39" i="1" s="1"/>
  <c r="K40" i="1" s="1"/>
  <c r="J38" i="1"/>
  <c r="J39" i="1" s="1"/>
  <c r="J40" i="1" s="1"/>
  <c r="I38" i="1"/>
  <c r="I39" i="1" s="1"/>
  <c r="I40" i="1" s="1"/>
  <c r="H38" i="1"/>
  <c r="H39" i="1" s="1"/>
  <c r="H40" i="1" s="1"/>
  <c r="G38" i="1"/>
  <c r="G39" i="1" s="1"/>
  <c r="G40" i="1" s="1"/>
  <c r="F38" i="1"/>
  <c r="F39" i="1" s="1"/>
  <c r="F40" i="1" s="1"/>
  <c r="E38" i="1"/>
  <c r="E39" i="1" s="1"/>
  <c r="E40" i="1" s="1"/>
  <c r="D38" i="1"/>
  <c r="D39" i="1" s="1"/>
  <c r="D40" i="1" s="1"/>
  <c r="C38" i="1"/>
  <c r="C39" i="1" s="1"/>
  <c r="C40" i="1" s="1"/>
  <c r="G40" i="13" l="1"/>
  <c r="G40" i="10"/>
  <c r="N40" i="9"/>
  <c r="N40" i="10"/>
  <c r="C40" i="18"/>
  <c r="C40" i="19"/>
</calcChain>
</file>

<file path=xl/comments1.xml><?xml version="1.0" encoding="utf-8"?>
<comments xmlns="http://schemas.openxmlformats.org/spreadsheetml/2006/main">
  <authors>
    <author>Rikard Pavelic</author>
  </authors>
  <commentList>
    <comment ref="M39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LocalDate is not serialized correctly</t>
        </r>
      </text>
    </comment>
    <comment ref="M41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LocalDate is not serialized correctly</t>
        </r>
      </text>
    </comment>
    <comment ref="M42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LocalDate is not serialized correctly</t>
        </r>
      </text>
    </comment>
  </commentList>
</comments>
</file>

<file path=xl/comments2.xml><?xml version="1.0" encoding="utf-8"?>
<comments xmlns="http://schemas.openxmlformats.org/spreadsheetml/2006/main">
  <authors>
    <author>Rikard Pavelic</author>
  </authors>
  <commentList>
    <comment ref="M39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LocalDate is not serialized correctly</t>
        </r>
      </text>
    </comment>
    <comment ref="M41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LocalDate is not serialized correctly</t>
        </r>
      </text>
    </comment>
    <comment ref="M42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LocalDate is not serialized correctly</t>
        </r>
      </text>
    </comment>
  </commentList>
</comments>
</file>

<file path=xl/comments3.xml><?xml version="1.0" encoding="utf-8"?>
<comments xmlns="http://schemas.openxmlformats.org/spreadsheetml/2006/main">
  <authors>
    <author>Rikard Pavelic</author>
  </authors>
  <commentList>
    <comment ref="M39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LocalDate is not serialized correctly</t>
        </r>
      </text>
    </comment>
    <comment ref="M41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LocalDate is not serialized correctly</t>
        </r>
      </text>
    </comment>
    <comment ref="M42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LocalDate is not serialized correctly</t>
        </r>
      </text>
    </comment>
  </commentList>
</comments>
</file>

<file path=xl/sharedStrings.xml><?xml version="1.0" encoding="utf-8"?>
<sst xmlns="http://schemas.openxmlformats.org/spreadsheetml/2006/main" count="1539" uniqueCount="56">
  <si>
    <t>Serialization</t>
  </si>
  <si>
    <t>Deserialization</t>
  </si>
  <si>
    <t>Average</t>
  </si>
  <si>
    <t>Deviation</t>
  </si>
  <si>
    <t>Size</t>
  </si>
  <si>
    <t>Newtonsoft (size)</t>
  </si>
  <si>
    <t>Jackson</t>
  </si>
  <si>
    <t>Jackson (size)</t>
  </si>
  <si>
    <t>Service Stack</t>
  </si>
  <si>
    <t>Instance + serialization + deserialization:</t>
  </si>
  <si>
    <t>Instance:</t>
  </si>
  <si>
    <t>Instance + serialization:</t>
  </si>
  <si>
    <t>Newtonsoft</t>
  </si>
  <si>
    <t>Revenj</t>
  </si>
  <si>
    <t>Gson</t>
  </si>
  <si>
    <t>Revenj (size)</t>
  </si>
  <si>
    <t>Service Stack (size)</t>
  </si>
  <si>
    <t>Jil (size)</t>
  </si>
  <si>
    <t>NetJSON (size)</t>
  </si>
  <si>
    <t>Gson (size)</t>
  </si>
  <si>
    <t>NetJSON</t>
  </si>
  <si>
    <t>Jil</t>
  </si>
  <si>
    <t>Instance</t>
  </si>
  <si>
    <t>All</t>
  </si>
  <si>
    <t>Jackson afterburner</t>
  </si>
  <si>
    <t>Alibaba</t>
  </si>
  <si>
    <t>Boon</t>
  </si>
  <si>
    <t>Boon (size)</t>
  </si>
  <si>
    <t>Alibaba (size)</t>
  </si>
  <si>
    <t>DSL-JSON</t>
  </si>
  <si>
    <t>DSL-JSON (size)</t>
  </si>
  <si>
    <t>ProtoBuf (binary reference)</t>
  </si>
  <si>
    <t>Protobuf (binary reference)</t>
  </si>
  <si>
    <t>Kryo (binary reference)</t>
  </si>
  <si>
    <t>ProtoBuf (size)</t>
  </si>
  <si>
    <t>Kryo (size)</t>
  </si>
  <si>
    <t>Startup times: SmallObject.Message</t>
  </si>
  <si>
    <t>100.000 SmallObjects.Message</t>
  </si>
  <si>
    <t>1.000.000 SmallObjects.Message</t>
  </si>
  <si>
    <t>10.000.000 SmallObjects.Message</t>
  </si>
  <si>
    <t>100.000 SmallObjects.Complex</t>
  </si>
  <si>
    <t>1.000.000 SmallObjects.Complex</t>
  </si>
  <si>
    <t>10.000.000 SmallObjects.Complex</t>
  </si>
  <si>
    <t>100.000 SmallObjects.Post</t>
  </si>
  <si>
    <t>1.000.000 SmallObjects.Post</t>
  </si>
  <si>
    <t>10.000.000 SmallObjects.Post</t>
  </si>
  <si>
    <t>10.000 StandardObjects.DeletePost</t>
  </si>
  <si>
    <t>100.000 StandardObjects.DeletePost</t>
  </si>
  <si>
    <t>1.000.000 StandardObjects.DeletePost</t>
  </si>
  <si>
    <t>10.000 StandardObjects.Post</t>
  </si>
  <si>
    <t>100.000 StandardObjects.Post</t>
  </si>
  <si>
    <t>1.000.000 StandardObjects.Post</t>
  </si>
  <si>
    <t>100 LargeObjects.Book</t>
  </si>
  <si>
    <t>1.000 LargeObjects.Book</t>
  </si>
  <si>
    <t>removed</t>
  </si>
  <si>
    <t xml:space="preserve">Newtonsoft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</si>
</sst>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432"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Startup!$B$39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Startup!$C$37:$N$37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Startup!$C$39:$N$39</c:f>
              <c:numCache>
                <c:formatCode>#,##0.0</c:formatCode>
                <c:ptCount val="12"/>
                <c:pt idx="0">
                  <c:v>233.99999999999994</c:v>
                </c:pt>
                <c:pt idx="1">
                  <c:v>2</c:v>
                </c:pt>
                <c:pt idx="2">
                  <c:v>103</c:v>
                </c:pt>
                <c:pt idx="3">
                  <c:v>108.33333333333337</c:v>
                </c:pt>
                <c:pt idx="4">
                  <c:v>370.66666666666663</c:v>
                </c:pt>
                <c:pt idx="5">
                  <c:v>93.333333333333314</c:v>
                </c:pt>
                <c:pt idx="6">
                  <c:v>85.333333333333329</c:v>
                </c:pt>
                <c:pt idx="7">
                  <c:v>0</c:v>
                </c:pt>
                <c:pt idx="8">
                  <c:v>13</c:v>
                </c:pt>
                <c:pt idx="9">
                  <c:v>60.333333333333336</c:v>
                </c:pt>
                <c:pt idx="10">
                  <c:v>156.33333333333334</c:v>
                </c:pt>
                <c:pt idx="11">
                  <c:v>27.666666666666668</c:v>
                </c:pt>
              </c:numCache>
            </c:numRef>
          </c:val>
        </c:ser>
        <c:ser>
          <c:idx val="1"/>
          <c:order val="1"/>
          <c:tx>
            <c:strRef>
              <c:f>Startup!$B$40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Startup!$C$37:$N$37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Startup!$C$40:$N$40</c:f>
              <c:numCache>
                <c:formatCode>#,##0.0</c:formatCode>
                <c:ptCount val="12"/>
                <c:pt idx="0">
                  <c:v>3.6666666666667425</c:v>
                </c:pt>
                <c:pt idx="1">
                  <c:v>16.666666666666686</c:v>
                </c:pt>
                <c:pt idx="2">
                  <c:v>7.6666666666666856</c:v>
                </c:pt>
                <c:pt idx="3">
                  <c:v>37.666666666666629</c:v>
                </c:pt>
                <c:pt idx="4">
                  <c:v>142.33333333333337</c:v>
                </c:pt>
                <c:pt idx="5">
                  <c:v>4.3333333333333144</c:v>
                </c:pt>
                <c:pt idx="6">
                  <c:v>32</c:v>
                </c:pt>
                <c:pt idx="7">
                  <c:v>1</c:v>
                </c:pt>
                <c:pt idx="8">
                  <c:v>17</c:v>
                </c:pt>
                <c:pt idx="9">
                  <c:v>30.999999999999993</c:v>
                </c:pt>
                <c:pt idx="10">
                  <c:v>10.666666666666657</c:v>
                </c:pt>
                <c:pt idx="1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360512"/>
        <c:axId val="179362048"/>
      </c:barChart>
      <c:catAx>
        <c:axId val="1793605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79362048"/>
        <c:crosses val="autoZero"/>
        <c:auto val="1"/>
        <c:lblAlgn val="ctr"/>
        <c:lblOffset val="100"/>
        <c:noMultiLvlLbl val="0"/>
      </c:catAx>
      <c:valAx>
        <c:axId val="179362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79360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'Small C 1'!$B$42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'Small C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1'!$C$42:$N$42</c:f>
              <c:numCache>
                <c:formatCode>#,##0</c:formatCode>
                <c:ptCount val="12"/>
                <c:pt idx="0">
                  <c:v>3346889</c:v>
                </c:pt>
                <c:pt idx="1">
                  <c:v>3346472</c:v>
                </c:pt>
                <c:pt idx="2">
                  <c:v>1658087</c:v>
                </c:pt>
                <c:pt idx="3">
                  <c:v>3346489</c:v>
                </c:pt>
                <c:pt idx="4" formatCode="#,##0.0">
                  <c:v>3346489</c:v>
                </c:pt>
                <c:pt idx="5" formatCode="#,##0.0">
                  <c:v>3346472</c:v>
                </c:pt>
                <c:pt idx="6" formatCode="#,##0.0">
                  <c:v>3346889</c:v>
                </c:pt>
                <c:pt idx="7" formatCode="#,##0.0">
                  <c:v>3346472</c:v>
                </c:pt>
                <c:pt idx="8" formatCode="#,##0.0">
                  <c:v>3351895</c:v>
                </c:pt>
                <c:pt idx="9" formatCode="#,##0.0">
                  <c:v>3346875</c:v>
                </c:pt>
                <c:pt idx="10" formatCode="#,##0.0">
                  <c:v>3346689</c:v>
                </c:pt>
                <c:pt idx="11" formatCode="#,##0.0">
                  <c:v>3346889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331648"/>
        <c:axId val="184353920"/>
      </c:barChart>
      <c:catAx>
        <c:axId val="1843316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84353920"/>
        <c:crosses val="autoZero"/>
        <c:auto val="1"/>
        <c:lblAlgn val="ctr"/>
        <c:lblOffset val="100"/>
        <c:noMultiLvlLbl val="0"/>
      </c:catAx>
      <c:valAx>
        <c:axId val="184353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8433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C 2'!$B$39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C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2'!$C$39:$N$39</c:f>
              <c:numCache>
                <c:formatCode>#,##0.0</c:formatCode>
                <c:ptCount val="12"/>
                <c:pt idx="0">
                  <c:v>3684.3333333333335</c:v>
                </c:pt>
                <c:pt idx="1">
                  <c:v>1515</c:v>
                </c:pt>
                <c:pt idx="2">
                  <c:v>610</c:v>
                </c:pt>
                <c:pt idx="3">
                  <c:v>3174.333333333333</c:v>
                </c:pt>
                <c:pt idx="4">
                  <c:v>2404</c:v>
                </c:pt>
                <c:pt idx="5">
                  <c:v>1775.6666666666665</c:v>
                </c:pt>
                <c:pt idx="6">
                  <c:v>775.66666666666652</c:v>
                </c:pt>
                <c:pt idx="7">
                  <c:v>470.00000000000006</c:v>
                </c:pt>
                <c:pt idx="8">
                  <c:v>420.00000000000006</c:v>
                </c:pt>
                <c:pt idx="9">
                  <c:v>3230</c:v>
                </c:pt>
                <c:pt idx="10">
                  <c:v>2671.3333333333335</c:v>
                </c:pt>
                <c:pt idx="11">
                  <c:v>3776.3333333333335</c:v>
                </c:pt>
              </c:numCache>
            </c:numRef>
          </c:val>
        </c:ser>
        <c:ser>
          <c:idx val="1"/>
          <c:order val="1"/>
          <c:tx>
            <c:strRef>
              <c:f>'Small C 2'!$B$40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C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2'!$C$40:$N$40</c:f>
              <c:numCache>
                <c:formatCode>#,##0.0</c:formatCode>
                <c:ptCount val="12"/>
                <c:pt idx="0">
                  <c:v>5935.9999999999991</c:v>
                </c:pt>
                <c:pt idx="1">
                  <c:v>1268.3333333333335</c:v>
                </c:pt>
                <c:pt idx="2">
                  <c:v>969.33333333333348</c:v>
                </c:pt>
                <c:pt idx="3">
                  <c:v>3329.3333333333335</c:v>
                </c:pt>
                <c:pt idx="4">
                  <c:v>1759.333333333333</c:v>
                </c:pt>
                <c:pt idx="5">
                  <c:v>3447.6666666666665</c:v>
                </c:pt>
                <c:pt idx="6">
                  <c:v>1186.0000000000002</c:v>
                </c:pt>
                <c:pt idx="7">
                  <c:v>421.66666666666669</c:v>
                </c:pt>
                <c:pt idx="8">
                  <c:v>514</c:v>
                </c:pt>
                <c:pt idx="9">
                  <c:v>6634.6666666666661</c:v>
                </c:pt>
                <c:pt idx="10">
                  <c:v>1137.9999999999998</c:v>
                </c:pt>
                <c:pt idx="11">
                  <c:v>1969.6666666666663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627584"/>
        <c:axId val="184629120"/>
      </c:barChart>
      <c:catAx>
        <c:axId val="1846275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84629120"/>
        <c:crosses val="autoZero"/>
        <c:auto val="1"/>
        <c:lblAlgn val="ctr"/>
        <c:lblOffset val="100"/>
        <c:noMultiLvlLbl val="0"/>
      </c:catAx>
      <c:valAx>
        <c:axId val="184629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84627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'Small C 2'!$B$42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'Small C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2'!$C$42:$N$42</c:f>
              <c:numCache>
                <c:formatCode>#,##0</c:formatCode>
                <c:ptCount val="12"/>
                <c:pt idx="0">
                  <c:v>36448889</c:v>
                </c:pt>
                <c:pt idx="1">
                  <c:v>36444872</c:v>
                </c:pt>
                <c:pt idx="2">
                  <c:v>16941514</c:v>
                </c:pt>
                <c:pt idx="3">
                  <c:v>36444889</c:v>
                </c:pt>
                <c:pt idx="4" formatCode="#,##0.0">
                  <c:v>36444889</c:v>
                </c:pt>
                <c:pt idx="5" formatCode="#,##0.0">
                  <c:v>36444872</c:v>
                </c:pt>
                <c:pt idx="6" formatCode="#,##0.0">
                  <c:v>36448889</c:v>
                </c:pt>
                <c:pt idx="7" formatCode="#,##0.0">
                  <c:v>36444872</c:v>
                </c:pt>
                <c:pt idx="8" formatCode="#,##0.0">
                  <c:v>33922404</c:v>
                </c:pt>
                <c:pt idx="9" formatCode="#,##0.0">
                  <c:v>36448875</c:v>
                </c:pt>
                <c:pt idx="10" formatCode="#,##0.0">
                  <c:v>36446889</c:v>
                </c:pt>
                <c:pt idx="11" formatCode="#,##0.0">
                  <c:v>36448889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670464"/>
        <c:axId val="184672256"/>
      </c:barChart>
      <c:catAx>
        <c:axId val="1846704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84672256"/>
        <c:crosses val="autoZero"/>
        <c:auto val="1"/>
        <c:lblAlgn val="ctr"/>
        <c:lblOffset val="100"/>
        <c:noMultiLvlLbl val="0"/>
      </c:catAx>
      <c:valAx>
        <c:axId val="184672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8467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C 3'!$B$39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C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3'!$C$39:$N$39</c:f>
              <c:numCache>
                <c:formatCode>#,##0.0</c:formatCode>
                <c:ptCount val="12"/>
                <c:pt idx="0">
                  <c:v>36637.333333333336</c:v>
                </c:pt>
                <c:pt idx="1">
                  <c:v>15503.666666666664</c:v>
                </c:pt>
                <c:pt idx="2">
                  <c:v>6171.9999999999991</c:v>
                </c:pt>
                <c:pt idx="3">
                  <c:v>31781.999999999996</c:v>
                </c:pt>
                <c:pt idx="4">
                  <c:v>24612.666666666668</c:v>
                </c:pt>
                <c:pt idx="5">
                  <c:v>17795.333333333336</c:v>
                </c:pt>
                <c:pt idx="6">
                  <c:v>7207</c:v>
                </c:pt>
                <c:pt idx="7">
                  <c:v>4393.6666666666661</c:v>
                </c:pt>
                <c:pt idx="8">
                  <c:v>3515</c:v>
                </c:pt>
                <c:pt idx="9">
                  <c:v>31750.333333333332</c:v>
                </c:pt>
                <c:pt idx="10">
                  <c:v>26472</c:v>
                </c:pt>
                <c:pt idx="11">
                  <c:v>37643.666666666664</c:v>
                </c:pt>
              </c:numCache>
            </c:numRef>
          </c:val>
        </c:ser>
        <c:ser>
          <c:idx val="1"/>
          <c:order val="1"/>
          <c:tx>
            <c:strRef>
              <c:f>'Small C 3'!$B$40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C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3'!$C$40:$N$40</c:f>
              <c:numCache>
                <c:formatCode>#,##0.0</c:formatCode>
                <c:ptCount val="12"/>
                <c:pt idx="0">
                  <c:v>59790.666666666672</c:v>
                </c:pt>
                <c:pt idx="1">
                  <c:v>12721.000000000004</c:v>
                </c:pt>
                <c:pt idx="2">
                  <c:v>9295.3333333333321</c:v>
                </c:pt>
                <c:pt idx="3">
                  <c:v>33999.333333333336</c:v>
                </c:pt>
                <c:pt idx="4">
                  <c:v>18035.666666666668</c:v>
                </c:pt>
                <c:pt idx="5">
                  <c:v>33966.666666666664</c:v>
                </c:pt>
                <c:pt idx="6">
                  <c:v>11405.333333333334</c:v>
                </c:pt>
                <c:pt idx="7">
                  <c:v>3950.3333333333335</c:v>
                </c:pt>
                <c:pt idx="8">
                  <c:v>4620.3333333333339</c:v>
                </c:pt>
                <c:pt idx="9">
                  <c:v>63925.333333333336</c:v>
                </c:pt>
                <c:pt idx="10">
                  <c:v>12235</c:v>
                </c:pt>
                <c:pt idx="11">
                  <c:v>20502.333333333336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231616"/>
        <c:axId val="187266176"/>
      </c:barChart>
      <c:catAx>
        <c:axId val="1872316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87266176"/>
        <c:crosses val="autoZero"/>
        <c:auto val="1"/>
        <c:lblAlgn val="ctr"/>
        <c:lblOffset val="100"/>
        <c:noMultiLvlLbl val="0"/>
      </c:catAx>
      <c:valAx>
        <c:axId val="187266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87231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'Small C 3'!$B$42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'Small C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3'!$C$42:$N$42</c:f>
              <c:numCache>
                <c:formatCode>#,##0</c:formatCode>
                <c:ptCount val="12"/>
                <c:pt idx="0">
                  <c:v>394468889</c:v>
                </c:pt>
                <c:pt idx="1">
                  <c:v>394428872</c:v>
                </c:pt>
                <c:pt idx="2">
                  <c:v>184924181</c:v>
                </c:pt>
                <c:pt idx="3">
                  <c:v>394428889</c:v>
                </c:pt>
                <c:pt idx="4" formatCode="#,##0.0">
                  <c:v>394428889</c:v>
                </c:pt>
                <c:pt idx="5" formatCode="#,##0.0">
                  <c:v>394428872</c:v>
                </c:pt>
                <c:pt idx="6" formatCode="#,##0.0">
                  <c:v>394468889</c:v>
                </c:pt>
                <c:pt idx="7" formatCode="#,##0.0">
                  <c:v>394428872</c:v>
                </c:pt>
                <c:pt idx="8" formatCode="#,##0.0">
                  <c:v>350301313</c:v>
                </c:pt>
                <c:pt idx="9" formatCode="#,##0.0">
                  <c:v>394468875</c:v>
                </c:pt>
                <c:pt idx="10" formatCode="#,##0.0">
                  <c:v>394448889</c:v>
                </c:pt>
                <c:pt idx="11" formatCode="#,##0.0">
                  <c:v>394468889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282944"/>
        <c:axId val="187284480"/>
      </c:barChart>
      <c:catAx>
        <c:axId val="1872829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87284480"/>
        <c:crosses val="autoZero"/>
        <c:auto val="1"/>
        <c:lblAlgn val="ctr"/>
        <c:lblOffset val="100"/>
        <c:noMultiLvlLbl val="0"/>
      </c:catAx>
      <c:valAx>
        <c:axId val="187284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87282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P 1'!$B$39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P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1'!$C$39:$N$39</c:f>
              <c:numCache>
                <c:formatCode>#,##0.0</c:formatCode>
                <c:ptCount val="12"/>
                <c:pt idx="0">
                  <c:v>314</c:v>
                </c:pt>
                <c:pt idx="1">
                  <c:v>101.66666666666667</c:v>
                </c:pt>
                <c:pt idx="2">
                  <c:v>94.333333333333329</c:v>
                </c:pt>
                <c:pt idx="3">
                  <c:v>321</c:v>
                </c:pt>
                <c:pt idx="4">
                  <c:v>227</c:v>
                </c:pt>
                <c:pt idx="5">
                  <c:v>193.66666666666669</c:v>
                </c:pt>
                <c:pt idx="6">
                  <c:v>210.33333333333331</c:v>
                </c:pt>
                <c:pt idx="7">
                  <c:v>140.00000000000003</c:v>
                </c:pt>
                <c:pt idx="8">
                  <c:v>114.33333333333334</c:v>
                </c:pt>
                <c:pt idx="9">
                  <c:v>537</c:v>
                </c:pt>
                <c:pt idx="10">
                  <c:v>0</c:v>
                </c:pt>
                <c:pt idx="11">
                  <c:v>760</c:v>
                </c:pt>
              </c:numCache>
            </c:numRef>
          </c:val>
        </c:ser>
        <c:ser>
          <c:idx val="1"/>
          <c:order val="1"/>
          <c:tx>
            <c:strRef>
              <c:f>'Small P 1'!$B$40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P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1'!$C$40:$N$40</c:f>
              <c:numCache>
                <c:formatCode>#,##0.0</c:formatCode>
                <c:ptCount val="12"/>
                <c:pt idx="0">
                  <c:v>820.33333333333337</c:v>
                </c:pt>
                <c:pt idx="1">
                  <c:v>188.33333333333331</c:v>
                </c:pt>
                <c:pt idx="2">
                  <c:v>175.33333333333337</c:v>
                </c:pt>
                <c:pt idx="3">
                  <c:v>622.33333333333337</c:v>
                </c:pt>
                <c:pt idx="4">
                  <c:v>356.33333333333331</c:v>
                </c:pt>
                <c:pt idx="5">
                  <c:v>668.66666666666674</c:v>
                </c:pt>
                <c:pt idx="6">
                  <c:v>390.66666666666674</c:v>
                </c:pt>
                <c:pt idx="7">
                  <c:v>56.6666666666666</c:v>
                </c:pt>
                <c:pt idx="8">
                  <c:v>62.333333333333343</c:v>
                </c:pt>
                <c:pt idx="9">
                  <c:v>0</c:v>
                </c:pt>
                <c:pt idx="10">
                  <c:v>0</c:v>
                </c:pt>
                <c:pt idx="11">
                  <c:v>857.33333333333326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690752"/>
        <c:axId val="185692544"/>
      </c:barChart>
      <c:catAx>
        <c:axId val="1856907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85692544"/>
        <c:crosses val="autoZero"/>
        <c:auto val="1"/>
        <c:lblAlgn val="ctr"/>
        <c:lblOffset val="100"/>
        <c:noMultiLvlLbl val="0"/>
      </c:catAx>
      <c:valAx>
        <c:axId val="185692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85690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'Small P 1'!$B$42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'Small P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1'!$C$42:$N$42</c:f>
              <c:numCache>
                <c:formatCode>#,##0</c:formatCode>
                <c:ptCount val="12"/>
                <c:pt idx="0">
                  <c:v>11938890</c:v>
                </c:pt>
                <c:pt idx="1">
                  <c:v>10188890</c:v>
                </c:pt>
                <c:pt idx="2">
                  <c:v>4488890</c:v>
                </c:pt>
                <c:pt idx="3">
                  <c:v>11838890</c:v>
                </c:pt>
                <c:pt idx="4" formatCode="#,##0.0">
                  <c:v>11938890</c:v>
                </c:pt>
                <c:pt idx="5" formatCode="#,##0.0">
                  <c:v>11888890</c:v>
                </c:pt>
                <c:pt idx="6" formatCode="#,##0.0">
                  <c:v>10938890</c:v>
                </c:pt>
                <c:pt idx="7" formatCode="#,##0.0">
                  <c:v>10188890</c:v>
                </c:pt>
                <c:pt idx="8" formatCode="#,##0.0">
                  <c:v>3888890</c:v>
                </c:pt>
                <c:pt idx="9" formatCode="#,##0.0">
                  <c:v>8988890</c:v>
                </c:pt>
                <c:pt idx="10" formatCode="#,##0.0">
                  <c:v>0</c:v>
                </c:pt>
                <c:pt idx="11" formatCode="#,##0.0">
                  <c:v>10938890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630336"/>
        <c:axId val="187631872"/>
      </c:barChart>
      <c:catAx>
        <c:axId val="187630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87631872"/>
        <c:crosses val="autoZero"/>
        <c:auto val="1"/>
        <c:lblAlgn val="ctr"/>
        <c:lblOffset val="100"/>
        <c:noMultiLvlLbl val="0"/>
      </c:catAx>
      <c:valAx>
        <c:axId val="187631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87630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P 2'!$B$39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P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2'!$C$39:$N$39</c:f>
              <c:numCache>
                <c:formatCode>#,##0.0</c:formatCode>
                <c:ptCount val="12"/>
                <c:pt idx="0">
                  <c:v>3129.6666666666665</c:v>
                </c:pt>
                <c:pt idx="1">
                  <c:v>929.33333333333326</c:v>
                </c:pt>
                <c:pt idx="2">
                  <c:v>888.66666666666663</c:v>
                </c:pt>
                <c:pt idx="3">
                  <c:v>2963</c:v>
                </c:pt>
                <c:pt idx="4">
                  <c:v>2155.3333333333335</c:v>
                </c:pt>
                <c:pt idx="5">
                  <c:v>1764</c:v>
                </c:pt>
                <c:pt idx="6">
                  <c:v>1230</c:v>
                </c:pt>
                <c:pt idx="7">
                  <c:v>543.66666666666674</c:v>
                </c:pt>
                <c:pt idx="8">
                  <c:v>500</c:v>
                </c:pt>
                <c:pt idx="9">
                  <c:v>3670.0000000000005</c:v>
                </c:pt>
                <c:pt idx="10">
                  <c:v>0</c:v>
                </c:pt>
                <c:pt idx="11">
                  <c:v>5529.6666666666661</c:v>
                </c:pt>
              </c:numCache>
            </c:numRef>
          </c:val>
        </c:ser>
        <c:ser>
          <c:idx val="1"/>
          <c:order val="1"/>
          <c:tx>
            <c:strRef>
              <c:f>'Small P 2'!$B$40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P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2'!$C$40:$N$40</c:f>
              <c:numCache>
                <c:formatCode>#,##0.0</c:formatCode>
                <c:ptCount val="12"/>
                <c:pt idx="0">
                  <c:v>7855.0000000000009</c:v>
                </c:pt>
                <c:pt idx="1">
                  <c:v>1803.333333333333</c:v>
                </c:pt>
                <c:pt idx="2">
                  <c:v>1756.0000000000005</c:v>
                </c:pt>
                <c:pt idx="3">
                  <c:v>5906.666666666667</c:v>
                </c:pt>
                <c:pt idx="4">
                  <c:v>3141.9999999999995</c:v>
                </c:pt>
                <c:pt idx="5">
                  <c:v>6622.666666666667</c:v>
                </c:pt>
                <c:pt idx="6">
                  <c:v>2727.3333333333335</c:v>
                </c:pt>
                <c:pt idx="7">
                  <c:v>459.66666666666652</c:v>
                </c:pt>
                <c:pt idx="8">
                  <c:v>409</c:v>
                </c:pt>
                <c:pt idx="9">
                  <c:v>0</c:v>
                </c:pt>
                <c:pt idx="10">
                  <c:v>0</c:v>
                </c:pt>
                <c:pt idx="11">
                  <c:v>5066.666666666667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200832"/>
        <c:axId val="188202368"/>
      </c:barChart>
      <c:catAx>
        <c:axId val="1882008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88202368"/>
        <c:crosses val="autoZero"/>
        <c:auto val="1"/>
        <c:lblAlgn val="ctr"/>
        <c:lblOffset val="100"/>
        <c:noMultiLvlLbl val="0"/>
      </c:catAx>
      <c:valAx>
        <c:axId val="188202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88200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'Small P 2'!$B$42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'Small P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2'!$C$42:$N$42</c:f>
              <c:numCache>
                <c:formatCode>#,##0</c:formatCode>
                <c:ptCount val="12"/>
                <c:pt idx="0">
                  <c:v>120388890</c:v>
                </c:pt>
                <c:pt idx="1">
                  <c:v>102888890</c:v>
                </c:pt>
                <c:pt idx="2">
                  <c:v>45888890</c:v>
                </c:pt>
                <c:pt idx="3">
                  <c:v>119388890</c:v>
                </c:pt>
                <c:pt idx="4" formatCode="#,##0.0">
                  <c:v>120388890</c:v>
                </c:pt>
                <c:pt idx="5" formatCode="#,##0.0">
                  <c:v>119888890</c:v>
                </c:pt>
                <c:pt idx="6" formatCode="#,##0.0">
                  <c:v>110388890</c:v>
                </c:pt>
                <c:pt idx="7" formatCode="#,##0.0">
                  <c:v>102888890</c:v>
                </c:pt>
                <c:pt idx="8" formatCode="#,##0.0">
                  <c:v>39888890</c:v>
                </c:pt>
                <c:pt idx="9" formatCode="#,##0.0">
                  <c:v>90888890</c:v>
                </c:pt>
                <c:pt idx="10" formatCode="#,##0.0">
                  <c:v>0</c:v>
                </c:pt>
                <c:pt idx="11" formatCode="#,##0.0">
                  <c:v>110388890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248064"/>
        <c:axId val="188249600"/>
      </c:barChart>
      <c:catAx>
        <c:axId val="1882480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88249600"/>
        <c:crosses val="autoZero"/>
        <c:auto val="1"/>
        <c:lblAlgn val="ctr"/>
        <c:lblOffset val="100"/>
        <c:noMultiLvlLbl val="0"/>
      </c:catAx>
      <c:valAx>
        <c:axId val="188249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88248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P 3'!$B$39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P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3'!$C$39:$N$39</c:f>
              <c:numCache>
                <c:formatCode>#,##0.0</c:formatCode>
                <c:ptCount val="12"/>
                <c:pt idx="0">
                  <c:v>31641.666666666664</c:v>
                </c:pt>
                <c:pt idx="1">
                  <c:v>9255.6666666666661</c:v>
                </c:pt>
                <c:pt idx="2">
                  <c:v>8532.6666666666679</c:v>
                </c:pt>
                <c:pt idx="3">
                  <c:v>29590.333333333332</c:v>
                </c:pt>
                <c:pt idx="4">
                  <c:v>20929.666666666668</c:v>
                </c:pt>
                <c:pt idx="5">
                  <c:v>17409.333333333336</c:v>
                </c:pt>
                <c:pt idx="6">
                  <c:v>10752</c:v>
                </c:pt>
                <c:pt idx="7">
                  <c:v>3119.666666666667</c:v>
                </c:pt>
                <c:pt idx="8">
                  <c:v>2916.333333333333</c:v>
                </c:pt>
                <c:pt idx="9">
                  <c:v>36756.666666666672</c:v>
                </c:pt>
                <c:pt idx="10">
                  <c:v>0</c:v>
                </c:pt>
                <c:pt idx="11">
                  <c:v>53794.666666666664</c:v>
                </c:pt>
              </c:numCache>
            </c:numRef>
          </c:val>
        </c:ser>
        <c:ser>
          <c:idx val="1"/>
          <c:order val="1"/>
          <c:tx>
            <c:strRef>
              <c:f>'Small P 3'!$B$40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P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3'!$C$40:$N$40</c:f>
              <c:numCache>
                <c:formatCode>#,##0.0</c:formatCode>
                <c:ptCount val="12"/>
                <c:pt idx="0">
                  <c:v>76448</c:v>
                </c:pt>
                <c:pt idx="1">
                  <c:v>17787.000000000007</c:v>
                </c:pt>
                <c:pt idx="2">
                  <c:v>17525.333333333332</c:v>
                </c:pt>
                <c:pt idx="3">
                  <c:v>59270.666666666664</c:v>
                </c:pt>
                <c:pt idx="4">
                  <c:v>31256.333333333339</c:v>
                </c:pt>
                <c:pt idx="5">
                  <c:v>65605.666666666672</c:v>
                </c:pt>
                <c:pt idx="6">
                  <c:v>27167.999999999996</c:v>
                </c:pt>
                <c:pt idx="7">
                  <c:v>4500.3333333333348</c:v>
                </c:pt>
                <c:pt idx="8">
                  <c:v>3914.6666666666679</c:v>
                </c:pt>
                <c:pt idx="9">
                  <c:v>0</c:v>
                </c:pt>
                <c:pt idx="10">
                  <c:v>0</c:v>
                </c:pt>
                <c:pt idx="11">
                  <c:v>48146.333333333336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512320"/>
        <c:axId val="187513856"/>
      </c:barChart>
      <c:catAx>
        <c:axId val="1875123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87513856"/>
        <c:crosses val="autoZero"/>
        <c:auto val="1"/>
        <c:lblAlgn val="ctr"/>
        <c:lblOffset val="100"/>
        <c:noMultiLvlLbl val="0"/>
      </c:catAx>
      <c:valAx>
        <c:axId val="187513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87512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Startup!$B$42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Startup!$C$37:$N$37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Startup!$C$42:$N$42</c:f>
              <c:numCache>
                <c:formatCode>#,##0</c:formatCode>
                <c:ptCount val="12"/>
                <c:pt idx="0">
                  <c:v>40</c:v>
                </c:pt>
                <c:pt idx="1">
                  <c:v>28</c:v>
                </c:pt>
                <c:pt idx="2">
                  <c:v>16</c:v>
                </c:pt>
                <c:pt idx="3">
                  <c:v>40</c:v>
                </c:pt>
                <c:pt idx="4" formatCode="#,##0.0">
                  <c:v>40</c:v>
                </c:pt>
                <c:pt idx="5" formatCode="#,##0.0">
                  <c:v>28</c:v>
                </c:pt>
                <c:pt idx="6" formatCode="#,##0.0">
                  <c:v>40</c:v>
                </c:pt>
                <c:pt idx="7" formatCode="#,##0.0">
                  <c:v>28</c:v>
                </c:pt>
                <c:pt idx="8" formatCode="#,##0.0">
                  <c:v>15</c:v>
                </c:pt>
                <c:pt idx="9" formatCode="#,##0.0">
                  <c:v>28</c:v>
                </c:pt>
                <c:pt idx="10" formatCode="#,##0.0">
                  <c:v>40</c:v>
                </c:pt>
                <c:pt idx="11" formatCode="#,##0.0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139520"/>
        <c:axId val="182153600"/>
      </c:barChart>
      <c:catAx>
        <c:axId val="1821395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82153600"/>
        <c:crosses val="autoZero"/>
        <c:auto val="1"/>
        <c:lblAlgn val="ctr"/>
        <c:lblOffset val="100"/>
        <c:noMultiLvlLbl val="0"/>
      </c:catAx>
      <c:valAx>
        <c:axId val="182153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82139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'Small P 3'!$B$42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'Small P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3'!$C$42:$N$42</c:f>
              <c:numCache>
                <c:formatCode>#,##0</c:formatCode>
                <c:ptCount val="12"/>
                <c:pt idx="0">
                  <c:v>1213888890</c:v>
                </c:pt>
                <c:pt idx="1">
                  <c:v>1038888890</c:v>
                </c:pt>
                <c:pt idx="2">
                  <c:v>468888890</c:v>
                </c:pt>
                <c:pt idx="3">
                  <c:v>1203888890</c:v>
                </c:pt>
                <c:pt idx="4" formatCode="#,##0.0">
                  <c:v>1213888890</c:v>
                </c:pt>
                <c:pt idx="5" formatCode="#,##0.0">
                  <c:v>1208888890</c:v>
                </c:pt>
                <c:pt idx="6" formatCode="#,##0.0">
                  <c:v>1113888890</c:v>
                </c:pt>
                <c:pt idx="7" formatCode="#,##0.0">
                  <c:v>1038888890</c:v>
                </c:pt>
                <c:pt idx="8" formatCode="#,##0.0">
                  <c:v>408888890</c:v>
                </c:pt>
                <c:pt idx="9" formatCode="#,##0.0">
                  <c:v>918888890</c:v>
                </c:pt>
                <c:pt idx="10" formatCode="#,##0.0">
                  <c:v>0</c:v>
                </c:pt>
                <c:pt idx="11" formatCode="#,##0.0">
                  <c:v>1113888890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538816"/>
        <c:axId val="187548800"/>
      </c:barChart>
      <c:catAx>
        <c:axId val="1875388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87548800"/>
        <c:crosses val="autoZero"/>
        <c:auto val="1"/>
        <c:lblAlgn val="ctr"/>
        <c:lblOffset val="100"/>
        <c:noMultiLvlLbl val="0"/>
      </c:catAx>
      <c:valAx>
        <c:axId val="187548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87538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'Std D 1'!$B$39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'Std D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1'!$C$39:$N$39</c:f>
              <c:numCache>
                <c:formatCode>#,##0.0</c:formatCode>
                <c:ptCount val="12"/>
                <c:pt idx="0">
                  <c:v>291.33333333333337</c:v>
                </c:pt>
                <c:pt idx="1">
                  <c:v>44.333333333333314</c:v>
                </c:pt>
                <c:pt idx="2">
                  <c:v>161.33333333333331</c:v>
                </c:pt>
                <c:pt idx="3">
                  <c:v>215.66666666666663</c:v>
                </c:pt>
                <c:pt idx="4">
                  <c:v>523.66666666666674</c:v>
                </c:pt>
                <c:pt idx="5">
                  <c:v>0</c:v>
                </c:pt>
                <c:pt idx="6">
                  <c:v>230.33333333333334</c:v>
                </c:pt>
                <c:pt idx="7">
                  <c:v>38.999999999999993</c:v>
                </c:pt>
                <c:pt idx="8">
                  <c:v>74</c:v>
                </c:pt>
                <c:pt idx="9">
                  <c:v>0</c:v>
                </c:pt>
                <c:pt idx="10">
                  <c:v>0</c:v>
                </c:pt>
                <c:pt idx="11">
                  <c:v>286.33333333333331</c:v>
                </c:pt>
              </c:numCache>
            </c:numRef>
          </c:val>
        </c:ser>
        <c:ser>
          <c:idx val="1"/>
          <c:order val="1"/>
          <c:tx>
            <c:strRef>
              <c:f>'Std D 1'!$B$40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'Std D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1'!$C$40:$N$40</c:f>
              <c:numCache>
                <c:formatCode>#,##0.0</c:formatCode>
                <c:ptCount val="12"/>
                <c:pt idx="0">
                  <c:v>224</c:v>
                </c:pt>
                <c:pt idx="1">
                  <c:v>92.666666666666572</c:v>
                </c:pt>
                <c:pt idx="2">
                  <c:v>41.999999999999943</c:v>
                </c:pt>
                <c:pt idx="3">
                  <c:v>206.66666666666674</c:v>
                </c:pt>
                <c:pt idx="4">
                  <c:v>297.66666666666657</c:v>
                </c:pt>
                <c:pt idx="5">
                  <c:v>0</c:v>
                </c:pt>
                <c:pt idx="6">
                  <c:v>338.99999999999994</c:v>
                </c:pt>
                <c:pt idx="7">
                  <c:v>78.666666666666657</c:v>
                </c:pt>
                <c:pt idx="8">
                  <c:v>67</c:v>
                </c:pt>
                <c:pt idx="9">
                  <c:v>0</c:v>
                </c:pt>
                <c:pt idx="10">
                  <c:v>0</c:v>
                </c:pt>
                <c:pt idx="11">
                  <c:v>341.00000000000006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969152"/>
        <c:axId val="189970688"/>
      </c:barChart>
      <c:catAx>
        <c:axId val="1899691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89970688"/>
        <c:crosses val="autoZero"/>
        <c:auto val="1"/>
        <c:lblAlgn val="ctr"/>
        <c:lblOffset val="100"/>
        <c:noMultiLvlLbl val="0"/>
      </c:catAx>
      <c:valAx>
        <c:axId val="189970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89969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'Std D 1'!$B$42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'Std D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1'!$C$42:$N$42</c:f>
              <c:numCache>
                <c:formatCode>#,##0</c:formatCode>
                <c:ptCount val="12"/>
                <c:pt idx="0">
                  <c:v>2234454</c:v>
                </c:pt>
                <c:pt idx="1">
                  <c:v>1802584</c:v>
                </c:pt>
                <c:pt idx="2">
                  <c:v>704000</c:v>
                </c:pt>
                <c:pt idx="3">
                  <c:v>1740659</c:v>
                </c:pt>
                <c:pt idx="4" formatCode="#,##0.0">
                  <c:v>2249785</c:v>
                </c:pt>
                <c:pt idx="5" formatCode="#,##0.0">
                  <c:v>0</c:v>
                </c:pt>
                <c:pt idx="6" formatCode="#,##0.0">
                  <c:v>1763995</c:v>
                </c:pt>
                <c:pt idx="7" formatCode="#,##0.0">
                  <c:v>1802584</c:v>
                </c:pt>
                <c:pt idx="8" formatCode="#,##0.0">
                  <c:v>654855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1763995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179328"/>
        <c:axId val="184181120"/>
      </c:barChart>
      <c:catAx>
        <c:axId val="1841793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84181120"/>
        <c:crosses val="autoZero"/>
        <c:auto val="1"/>
        <c:lblAlgn val="ctr"/>
        <c:lblOffset val="100"/>
        <c:noMultiLvlLbl val="0"/>
      </c:catAx>
      <c:valAx>
        <c:axId val="184181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84179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'Std D 2'!$B$39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'Std D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2'!$C$39:$N$39</c:f>
              <c:numCache>
                <c:formatCode>#,##0.0</c:formatCode>
                <c:ptCount val="12"/>
                <c:pt idx="0">
                  <c:v>1125.6666666666665</c:v>
                </c:pt>
                <c:pt idx="1">
                  <c:v>275</c:v>
                </c:pt>
                <c:pt idx="2">
                  <c:v>270.66666666666663</c:v>
                </c:pt>
                <c:pt idx="3">
                  <c:v>738.00000000000011</c:v>
                </c:pt>
                <c:pt idx="4">
                  <c:v>1055</c:v>
                </c:pt>
                <c:pt idx="5">
                  <c:v>0</c:v>
                </c:pt>
                <c:pt idx="6">
                  <c:v>520.66666666666663</c:v>
                </c:pt>
                <c:pt idx="7">
                  <c:v>131.33333333333331</c:v>
                </c:pt>
                <c:pt idx="8">
                  <c:v>151</c:v>
                </c:pt>
                <c:pt idx="9">
                  <c:v>0</c:v>
                </c:pt>
                <c:pt idx="10">
                  <c:v>0</c:v>
                </c:pt>
                <c:pt idx="11">
                  <c:v>1232</c:v>
                </c:pt>
              </c:numCache>
            </c:numRef>
          </c:val>
        </c:ser>
        <c:ser>
          <c:idx val="1"/>
          <c:order val="1"/>
          <c:tx>
            <c:strRef>
              <c:f>'Std D 2'!$B$40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'Std D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2'!$C$40:$N$40</c:f>
              <c:numCache>
                <c:formatCode>#,##0.0</c:formatCode>
                <c:ptCount val="12"/>
                <c:pt idx="0">
                  <c:v>1325.3333333333335</c:v>
                </c:pt>
                <c:pt idx="1">
                  <c:v>569.66666666666663</c:v>
                </c:pt>
                <c:pt idx="2">
                  <c:v>215.66666666666674</c:v>
                </c:pt>
                <c:pt idx="3">
                  <c:v>1123.666666666667</c:v>
                </c:pt>
                <c:pt idx="4">
                  <c:v>900.66666666666663</c:v>
                </c:pt>
                <c:pt idx="5">
                  <c:v>0</c:v>
                </c:pt>
                <c:pt idx="6">
                  <c:v>1009.6666666666666</c:v>
                </c:pt>
                <c:pt idx="7">
                  <c:v>259.33333333333337</c:v>
                </c:pt>
                <c:pt idx="8">
                  <c:v>169.99999999999997</c:v>
                </c:pt>
                <c:pt idx="9">
                  <c:v>0</c:v>
                </c:pt>
                <c:pt idx="10">
                  <c:v>0</c:v>
                </c:pt>
                <c:pt idx="11">
                  <c:v>1223.6666666666667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716160"/>
        <c:axId val="192722048"/>
      </c:barChart>
      <c:catAx>
        <c:axId val="1927161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2722048"/>
        <c:crosses val="autoZero"/>
        <c:auto val="1"/>
        <c:lblAlgn val="ctr"/>
        <c:lblOffset val="100"/>
        <c:noMultiLvlLbl val="0"/>
      </c:catAx>
      <c:valAx>
        <c:axId val="192722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92716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'Std D 2'!$B$42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'Std D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2'!$C$42:$N$42</c:f>
              <c:numCache>
                <c:formatCode>#,##0</c:formatCode>
                <c:ptCount val="12"/>
                <c:pt idx="0">
                  <c:v>23246001</c:v>
                </c:pt>
                <c:pt idx="1">
                  <c:v>18939843</c:v>
                </c:pt>
                <c:pt idx="2">
                  <c:v>7506385</c:v>
                </c:pt>
                <c:pt idx="3">
                  <c:v>18307918</c:v>
                </c:pt>
                <c:pt idx="4" formatCode="#,##0.0">
                  <c:v>23399332</c:v>
                </c:pt>
                <c:pt idx="5" formatCode="#,##0.0">
                  <c:v>0</c:v>
                </c:pt>
                <c:pt idx="6" formatCode="#,##0.0">
                  <c:v>18541254</c:v>
                </c:pt>
                <c:pt idx="7" formatCode="#,##0.0">
                  <c:v>18939843</c:v>
                </c:pt>
                <c:pt idx="8" formatCode="#,##0.0">
                  <c:v>7091834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18541254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734720"/>
        <c:axId val="192736256"/>
      </c:barChart>
      <c:catAx>
        <c:axId val="1927347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2736256"/>
        <c:crosses val="autoZero"/>
        <c:auto val="1"/>
        <c:lblAlgn val="ctr"/>
        <c:lblOffset val="100"/>
        <c:noMultiLvlLbl val="0"/>
      </c:catAx>
      <c:valAx>
        <c:axId val="192736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92734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'Std D 3'!$B$39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'Std D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3'!$C$39:$N$39</c:f>
              <c:numCache>
                <c:formatCode>#,##0.0</c:formatCode>
                <c:ptCount val="12"/>
                <c:pt idx="0">
                  <c:v>8988</c:v>
                </c:pt>
                <c:pt idx="1">
                  <c:v>2632.6666666666665</c:v>
                </c:pt>
                <c:pt idx="2">
                  <c:v>1328.6666666666665</c:v>
                </c:pt>
                <c:pt idx="3">
                  <c:v>6273.3333333333339</c:v>
                </c:pt>
                <c:pt idx="4">
                  <c:v>6462</c:v>
                </c:pt>
                <c:pt idx="5">
                  <c:v>0</c:v>
                </c:pt>
                <c:pt idx="6">
                  <c:v>2035.3333333333333</c:v>
                </c:pt>
                <c:pt idx="7">
                  <c:v>724</c:v>
                </c:pt>
                <c:pt idx="8">
                  <c:v>681.33333333333337</c:v>
                </c:pt>
                <c:pt idx="9">
                  <c:v>0</c:v>
                </c:pt>
                <c:pt idx="10">
                  <c:v>0</c:v>
                </c:pt>
                <c:pt idx="11">
                  <c:v>9422.6666666666661</c:v>
                </c:pt>
              </c:numCache>
            </c:numRef>
          </c:val>
        </c:ser>
        <c:ser>
          <c:idx val="1"/>
          <c:order val="1"/>
          <c:tx>
            <c:strRef>
              <c:f>'Std D 3'!$B$40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'Std D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3'!$C$40:$N$40</c:f>
              <c:numCache>
                <c:formatCode>#,##0.0</c:formatCode>
                <c:ptCount val="12"/>
                <c:pt idx="0">
                  <c:v>13219.000000000002</c:v>
                </c:pt>
                <c:pt idx="1">
                  <c:v>5429</c:v>
                </c:pt>
                <c:pt idx="2">
                  <c:v>2037.0000000000005</c:v>
                </c:pt>
                <c:pt idx="3">
                  <c:v>10542.999999999998</c:v>
                </c:pt>
                <c:pt idx="4">
                  <c:v>7116.3333333333321</c:v>
                </c:pt>
                <c:pt idx="5">
                  <c:v>0</c:v>
                </c:pt>
                <c:pt idx="6">
                  <c:v>6741</c:v>
                </c:pt>
                <c:pt idx="7">
                  <c:v>1207.6666666666667</c:v>
                </c:pt>
                <c:pt idx="8">
                  <c:v>833.33333333333337</c:v>
                </c:pt>
                <c:pt idx="9">
                  <c:v>0</c:v>
                </c:pt>
                <c:pt idx="10">
                  <c:v>0</c:v>
                </c:pt>
                <c:pt idx="11">
                  <c:v>8611.6666666666661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87392"/>
        <c:axId val="195789184"/>
      </c:barChart>
      <c:catAx>
        <c:axId val="195787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95789184"/>
        <c:crosses val="autoZero"/>
        <c:auto val="1"/>
        <c:lblAlgn val="ctr"/>
        <c:lblOffset val="100"/>
        <c:noMultiLvlLbl val="0"/>
      </c:catAx>
      <c:valAx>
        <c:axId val="195789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95787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'Std D 3'!$B$42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'Std D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3'!$C$42:$N$42</c:f>
              <c:numCache>
                <c:formatCode>#,##0</c:formatCode>
                <c:ptCount val="12"/>
                <c:pt idx="0">
                  <c:v>241190228.66666666</c:v>
                </c:pt>
                <c:pt idx="1">
                  <c:v>198474556</c:v>
                </c:pt>
                <c:pt idx="2">
                  <c:v>79244720</c:v>
                </c:pt>
                <c:pt idx="3">
                  <c:v>192142631</c:v>
                </c:pt>
                <c:pt idx="4" formatCode="#,##0.0">
                  <c:v>243056893</c:v>
                </c:pt>
                <c:pt idx="5" formatCode="#,##0.0">
                  <c:v>0</c:v>
                </c:pt>
                <c:pt idx="6" formatCode="#,##0.0">
                  <c:v>194475967</c:v>
                </c:pt>
                <c:pt idx="7" formatCode="#,##0.0">
                  <c:v>198474556</c:v>
                </c:pt>
                <c:pt idx="8" formatCode="#,##0.0">
                  <c:v>74036454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194475967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818240"/>
        <c:axId val="195819776"/>
      </c:barChart>
      <c:catAx>
        <c:axId val="1958182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5819776"/>
        <c:crosses val="autoZero"/>
        <c:auto val="1"/>
        <c:lblAlgn val="ctr"/>
        <c:lblOffset val="100"/>
        <c:noMultiLvlLbl val="0"/>
      </c:catAx>
      <c:valAx>
        <c:axId val="195819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95818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'Std P 1'!$B$39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'Std P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1'!$C$39:$N$39</c:f>
              <c:numCache>
                <c:formatCode>#,##0.0</c:formatCode>
                <c:ptCount val="12"/>
                <c:pt idx="0">
                  <c:v>2415</c:v>
                </c:pt>
                <c:pt idx="1">
                  <c:v>524.00000000000011</c:v>
                </c:pt>
                <c:pt idx="2">
                  <c:v>365.99999999999989</c:v>
                </c:pt>
                <c:pt idx="3">
                  <c:v>1948.6666666666665</c:v>
                </c:pt>
                <c:pt idx="4">
                  <c:v>1825.333333333333</c:v>
                </c:pt>
                <c:pt idx="5">
                  <c:v>0</c:v>
                </c:pt>
                <c:pt idx="6">
                  <c:v>897.99999999999989</c:v>
                </c:pt>
                <c:pt idx="7">
                  <c:v>526.33333333333326</c:v>
                </c:pt>
                <c:pt idx="8">
                  <c:v>291</c:v>
                </c:pt>
                <c:pt idx="9">
                  <c:v>0</c:v>
                </c:pt>
                <c:pt idx="10">
                  <c:v>0</c:v>
                </c:pt>
                <c:pt idx="11">
                  <c:v>2772.6666666666665</c:v>
                </c:pt>
              </c:numCache>
            </c:numRef>
          </c:val>
        </c:ser>
        <c:ser>
          <c:idx val="1"/>
          <c:order val="1"/>
          <c:tx>
            <c:strRef>
              <c:f>'Std P 1'!$B$40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'Std P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1'!$C$40:$N$40</c:f>
              <c:numCache>
                <c:formatCode>#,##0.0</c:formatCode>
                <c:ptCount val="12"/>
                <c:pt idx="0">
                  <c:v>2912.3333333333335</c:v>
                </c:pt>
                <c:pt idx="1">
                  <c:v>1114.666666666667</c:v>
                </c:pt>
                <c:pt idx="2">
                  <c:v>627.66666666666663</c:v>
                </c:pt>
                <c:pt idx="3">
                  <c:v>3655.6666666666661</c:v>
                </c:pt>
                <c:pt idx="4">
                  <c:v>1623.3333333333335</c:v>
                </c:pt>
                <c:pt idx="5">
                  <c:v>0</c:v>
                </c:pt>
                <c:pt idx="6">
                  <c:v>1690.6666666666667</c:v>
                </c:pt>
                <c:pt idx="7">
                  <c:v>232.3333333333334</c:v>
                </c:pt>
                <c:pt idx="8">
                  <c:v>302</c:v>
                </c:pt>
                <c:pt idx="9">
                  <c:v>0</c:v>
                </c:pt>
                <c:pt idx="10">
                  <c:v>0</c:v>
                </c:pt>
                <c:pt idx="11">
                  <c:v>2318.333333333333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732224"/>
        <c:axId val="197733760"/>
      </c:barChart>
      <c:catAx>
        <c:axId val="1977322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97733760"/>
        <c:crosses val="autoZero"/>
        <c:auto val="1"/>
        <c:lblAlgn val="ctr"/>
        <c:lblOffset val="100"/>
        <c:noMultiLvlLbl val="0"/>
      </c:catAx>
      <c:valAx>
        <c:axId val="197733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97732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'Std P 1'!$B$42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'Std P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1'!$C$42:$N$42</c:f>
              <c:numCache>
                <c:formatCode>#,##0</c:formatCode>
                <c:ptCount val="12"/>
                <c:pt idx="0">
                  <c:v>84221352</c:v>
                </c:pt>
                <c:pt idx="1">
                  <c:v>73494967</c:v>
                </c:pt>
                <c:pt idx="2">
                  <c:v>35094918</c:v>
                </c:pt>
                <c:pt idx="3">
                  <c:v>79509317</c:v>
                </c:pt>
                <c:pt idx="4" formatCode="#,##0.0">
                  <c:v>84298017</c:v>
                </c:pt>
                <c:pt idx="5" formatCode="#,##0.0">
                  <c:v>0</c:v>
                </c:pt>
                <c:pt idx="6" formatCode="#,##0.0">
                  <c:v>73117617</c:v>
                </c:pt>
                <c:pt idx="7" formatCode="#,##0.0">
                  <c:v>73494967</c:v>
                </c:pt>
                <c:pt idx="8" formatCode="#,##0.0">
                  <c:v>31184505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73117617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767168"/>
        <c:axId val="197768704"/>
      </c:barChart>
      <c:catAx>
        <c:axId val="1977671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97768704"/>
        <c:crosses val="autoZero"/>
        <c:auto val="1"/>
        <c:lblAlgn val="ctr"/>
        <c:lblOffset val="100"/>
        <c:noMultiLvlLbl val="0"/>
      </c:catAx>
      <c:valAx>
        <c:axId val="197768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97767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'Std P 2'!$B$39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'Std P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2'!$C$39:$N$39</c:f>
              <c:numCache>
                <c:formatCode>#,##0.0</c:formatCode>
                <c:ptCount val="12"/>
                <c:pt idx="0">
                  <c:v>24135.666666666664</c:v>
                </c:pt>
                <c:pt idx="1">
                  <c:v>5083.3333333333321</c:v>
                </c:pt>
                <c:pt idx="2">
                  <c:v>3415</c:v>
                </c:pt>
                <c:pt idx="3">
                  <c:v>19105.666666666668</c:v>
                </c:pt>
                <c:pt idx="4">
                  <c:v>17655</c:v>
                </c:pt>
                <c:pt idx="5">
                  <c:v>0</c:v>
                </c:pt>
                <c:pt idx="6">
                  <c:v>6999.9999999999991</c:v>
                </c:pt>
                <c:pt idx="7">
                  <c:v>2291</c:v>
                </c:pt>
                <c:pt idx="8">
                  <c:v>1869.6666666666667</c:v>
                </c:pt>
                <c:pt idx="9">
                  <c:v>0</c:v>
                </c:pt>
                <c:pt idx="10">
                  <c:v>0</c:v>
                </c:pt>
                <c:pt idx="11">
                  <c:v>24288.333333333332</c:v>
                </c:pt>
              </c:numCache>
            </c:numRef>
          </c:val>
        </c:ser>
        <c:ser>
          <c:idx val="1"/>
          <c:order val="1"/>
          <c:tx>
            <c:strRef>
              <c:f>'Std P 2'!$B$40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'Std P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2'!$C$40:$N$40</c:f>
              <c:numCache>
                <c:formatCode>#,##0.0</c:formatCode>
                <c:ptCount val="12"/>
                <c:pt idx="0">
                  <c:v>28572.666666666664</c:v>
                </c:pt>
                <c:pt idx="1">
                  <c:v>10661.333333333334</c:v>
                </c:pt>
                <c:pt idx="2">
                  <c:v>6141.9999999999982</c:v>
                </c:pt>
                <c:pt idx="3">
                  <c:v>37015.666666666664</c:v>
                </c:pt>
                <c:pt idx="4">
                  <c:v>15430.999999999998</c:v>
                </c:pt>
                <c:pt idx="5">
                  <c:v>0</c:v>
                </c:pt>
                <c:pt idx="6">
                  <c:v>15830.666666666666</c:v>
                </c:pt>
                <c:pt idx="7">
                  <c:v>2728</c:v>
                </c:pt>
                <c:pt idx="8">
                  <c:v>2393</c:v>
                </c:pt>
                <c:pt idx="9">
                  <c:v>0</c:v>
                </c:pt>
                <c:pt idx="10">
                  <c:v>0</c:v>
                </c:pt>
                <c:pt idx="11">
                  <c:v>19640.333333333336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837952"/>
        <c:axId val="197839488"/>
      </c:barChart>
      <c:catAx>
        <c:axId val="1978379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97839488"/>
        <c:crosses val="autoZero"/>
        <c:auto val="1"/>
        <c:lblAlgn val="ctr"/>
        <c:lblOffset val="100"/>
        <c:noMultiLvlLbl val="0"/>
      </c:catAx>
      <c:valAx>
        <c:axId val="197839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97837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M 1'!$B$39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M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1'!$C$39:$N$39</c:f>
              <c:numCache>
                <c:formatCode>#,##0.0</c:formatCode>
                <c:ptCount val="12"/>
                <c:pt idx="0">
                  <c:v>351.99999999999994</c:v>
                </c:pt>
                <c:pt idx="1">
                  <c:v>59.666666666666686</c:v>
                </c:pt>
                <c:pt idx="2">
                  <c:v>151.66666666666669</c:v>
                </c:pt>
                <c:pt idx="3">
                  <c:v>232.00000000000006</c:v>
                </c:pt>
                <c:pt idx="4">
                  <c:v>508.66666666666669</c:v>
                </c:pt>
                <c:pt idx="5">
                  <c:v>170.33333333333331</c:v>
                </c:pt>
                <c:pt idx="6">
                  <c:v>224.00000000000003</c:v>
                </c:pt>
                <c:pt idx="7">
                  <c:v>34</c:v>
                </c:pt>
                <c:pt idx="8">
                  <c:v>54</c:v>
                </c:pt>
                <c:pt idx="9">
                  <c:v>549</c:v>
                </c:pt>
                <c:pt idx="10">
                  <c:v>541.66666666666663</c:v>
                </c:pt>
                <c:pt idx="11">
                  <c:v>563</c:v>
                </c:pt>
              </c:numCache>
            </c:numRef>
          </c:val>
        </c:ser>
        <c:ser>
          <c:idx val="1"/>
          <c:order val="1"/>
          <c:tx>
            <c:strRef>
              <c:f>'Small M 1'!$B$40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M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1'!$C$40:$N$40</c:f>
              <c:numCache>
                <c:formatCode>#,##0.0</c:formatCode>
                <c:ptCount val="12"/>
                <c:pt idx="0">
                  <c:v>474.66666666666657</c:v>
                </c:pt>
                <c:pt idx="1">
                  <c:v>126.33333333333331</c:v>
                </c:pt>
                <c:pt idx="2">
                  <c:v>108</c:v>
                </c:pt>
                <c:pt idx="3">
                  <c:v>266.99999999999994</c:v>
                </c:pt>
                <c:pt idx="4">
                  <c:v>300.66666666666657</c:v>
                </c:pt>
                <c:pt idx="5">
                  <c:v>279.33333333333343</c:v>
                </c:pt>
                <c:pt idx="6">
                  <c:v>257.33333333333331</c:v>
                </c:pt>
                <c:pt idx="7">
                  <c:v>82</c:v>
                </c:pt>
                <c:pt idx="8">
                  <c:v>65.333333333333343</c:v>
                </c:pt>
                <c:pt idx="9">
                  <c:v>775.66666666666663</c:v>
                </c:pt>
                <c:pt idx="10">
                  <c:v>148</c:v>
                </c:pt>
                <c:pt idx="11">
                  <c:v>243.66666666666671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550528"/>
        <c:axId val="182552064"/>
      </c:barChart>
      <c:catAx>
        <c:axId val="1825505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82552064"/>
        <c:crosses val="autoZero"/>
        <c:auto val="1"/>
        <c:lblAlgn val="ctr"/>
        <c:lblOffset val="100"/>
        <c:noMultiLvlLbl val="0"/>
      </c:catAx>
      <c:valAx>
        <c:axId val="182552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8255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'Std P 2'!$B$42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'Std P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2'!$C$42:$N$42</c:f>
              <c:numCache>
                <c:formatCode>#,##0</c:formatCode>
                <c:ptCount val="12"/>
                <c:pt idx="0">
                  <c:v>852604452</c:v>
                </c:pt>
                <c:pt idx="1">
                  <c:v>745341367</c:v>
                </c:pt>
                <c:pt idx="2">
                  <c:v>361164198</c:v>
                </c:pt>
                <c:pt idx="3">
                  <c:v>805544996</c:v>
                </c:pt>
                <c:pt idx="4" formatCode="#,##0.0">
                  <c:v>853371117</c:v>
                </c:pt>
                <c:pt idx="5" formatCode="#,##0.0">
                  <c:v>0</c:v>
                </c:pt>
                <c:pt idx="6" formatCode="#,##0.0">
                  <c:v>741567117</c:v>
                </c:pt>
                <c:pt idx="7" formatCode="#,##0.0">
                  <c:v>745341367</c:v>
                </c:pt>
                <c:pt idx="8" formatCode="#,##0.0">
                  <c:v>322172245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741567117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057472"/>
        <c:axId val="190059264"/>
      </c:barChart>
      <c:catAx>
        <c:axId val="1900574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90059264"/>
        <c:crosses val="autoZero"/>
        <c:auto val="1"/>
        <c:lblAlgn val="ctr"/>
        <c:lblOffset val="100"/>
        <c:noMultiLvlLbl val="0"/>
      </c:catAx>
      <c:valAx>
        <c:axId val="190059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90057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'Std P 3'!$B$39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'Std P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3'!$C$39:$N$39</c:f>
              <c:numCache>
                <c:formatCode>#,##0.0</c:formatCode>
                <c:ptCount val="12"/>
                <c:pt idx="0">
                  <c:v>238534.66666666669</c:v>
                </c:pt>
                <c:pt idx="1">
                  <c:v>52655.999999999985</c:v>
                </c:pt>
                <c:pt idx="2">
                  <c:v>35313</c:v>
                </c:pt>
                <c:pt idx="3">
                  <c:v>191541.66666666663</c:v>
                </c:pt>
                <c:pt idx="4">
                  <c:v>177506.66666666669</c:v>
                </c:pt>
                <c:pt idx="5">
                  <c:v>0</c:v>
                </c:pt>
                <c:pt idx="6">
                  <c:v>68365</c:v>
                </c:pt>
                <c:pt idx="7">
                  <c:v>21977.666666666664</c:v>
                </c:pt>
                <c:pt idx="8">
                  <c:v>18312</c:v>
                </c:pt>
                <c:pt idx="9">
                  <c:v>0</c:v>
                </c:pt>
                <c:pt idx="10">
                  <c:v>0</c:v>
                </c:pt>
                <c:pt idx="11">
                  <c:v>242300.66666666669</c:v>
                </c:pt>
              </c:numCache>
            </c:numRef>
          </c:val>
        </c:ser>
        <c:ser>
          <c:idx val="1"/>
          <c:order val="1"/>
          <c:tx>
            <c:strRef>
              <c:f>'Std P 3'!$B$40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'Std P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3'!$C$40:$N$40</c:f>
              <c:numCache>
                <c:formatCode>#,##0.0</c:formatCode>
                <c:ptCount val="12"/>
                <c:pt idx="0">
                  <c:v>291349</c:v>
                </c:pt>
                <c:pt idx="1">
                  <c:v>107601.6666666667</c:v>
                </c:pt>
                <c:pt idx="2">
                  <c:v>60825.333333333328</c:v>
                </c:pt>
                <c:pt idx="3">
                  <c:v>370941.33333333331</c:v>
                </c:pt>
                <c:pt idx="4">
                  <c:v>156733</c:v>
                </c:pt>
                <c:pt idx="5">
                  <c:v>0</c:v>
                </c:pt>
                <c:pt idx="6">
                  <c:v>157059.66666666666</c:v>
                </c:pt>
                <c:pt idx="7">
                  <c:v>27335.666666666672</c:v>
                </c:pt>
                <c:pt idx="8">
                  <c:v>23429.666666666664</c:v>
                </c:pt>
                <c:pt idx="9">
                  <c:v>0</c:v>
                </c:pt>
                <c:pt idx="10">
                  <c:v>0</c:v>
                </c:pt>
                <c:pt idx="11">
                  <c:v>196712.66666666666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366336"/>
        <c:axId val="198367872"/>
      </c:barChart>
      <c:catAx>
        <c:axId val="198366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98367872"/>
        <c:crosses val="autoZero"/>
        <c:auto val="1"/>
        <c:lblAlgn val="ctr"/>
        <c:lblOffset val="100"/>
        <c:noMultiLvlLbl val="0"/>
      </c:catAx>
      <c:valAx>
        <c:axId val="198367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98366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'Std P 3'!$B$42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'Std P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3'!$C$42:$N$42</c:f>
              <c:numCache>
                <c:formatCode>#,##0</c:formatCode>
                <c:ptCount val="12"/>
                <c:pt idx="0">
                  <c:v>8624258785.333334</c:v>
                </c:pt>
                <c:pt idx="1">
                  <c:v>7557405367</c:v>
                </c:pt>
                <c:pt idx="2">
                  <c:v>3713376198</c:v>
                </c:pt>
                <c:pt idx="3">
                  <c:v>8204343029.333333</c:v>
                </c:pt>
                <c:pt idx="4" formatCode="#,##0.0">
                  <c:v>8637702117</c:v>
                </c:pt>
                <c:pt idx="5" formatCode="#,##0.0">
                  <c:v>0</c:v>
                </c:pt>
                <c:pt idx="6" formatCode="#,##0.0">
                  <c:v>7519662117</c:v>
                </c:pt>
                <c:pt idx="7" formatCode="#,##0.0">
                  <c:v>7557405367</c:v>
                </c:pt>
                <c:pt idx="8" formatCode="#,##0.0">
                  <c:v>3323159245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7519662117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380544"/>
        <c:axId val="198390528"/>
      </c:barChart>
      <c:catAx>
        <c:axId val="1983805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98390528"/>
        <c:crosses val="autoZero"/>
        <c:auto val="1"/>
        <c:lblAlgn val="ctr"/>
        <c:lblOffset val="100"/>
        <c:noMultiLvlLbl val="0"/>
      </c:catAx>
      <c:valAx>
        <c:axId val="198390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9838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'Large 1'!$B$39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'Large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'Large 1'!$C$39:$N$39</c:f>
              <c:numCache>
                <c:formatCode>#,##0.0</c:formatCode>
                <c:ptCount val="12"/>
                <c:pt idx="0">
                  <c:v>1653.333333333333</c:v>
                </c:pt>
                <c:pt idx="1">
                  <c:v>345.66666666666663</c:v>
                </c:pt>
                <c:pt idx="2">
                  <c:v>459.33333333333326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741.66666666666674</c:v>
                </c:pt>
                <c:pt idx="7">
                  <c:v>236.66666666666669</c:v>
                </c:pt>
                <c:pt idx="8">
                  <c:v>229.99999999999994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'Large 1'!$B$40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'Large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'Large 1'!$C$40:$N$40</c:f>
              <c:numCache>
                <c:formatCode>#,##0.0</c:formatCode>
                <c:ptCount val="12"/>
                <c:pt idx="0">
                  <c:v>2367.6666666666665</c:v>
                </c:pt>
                <c:pt idx="1">
                  <c:v>1034.6666666666665</c:v>
                </c:pt>
                <c:pt idx="2">
                  <c:v>823.00000000000023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1666.3333333333333</c:v>
                </c:pt>
                <c:pt idx="7">
                  <c:v>212.33333333333331</c:v>
                </c:pt>
                <c:pt idx="8">
                  <c:v>177.33333333333337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235072"/>
        <c:axId val="197236608"/>
      </c:barChart>
      <c:catAx>
        <c:axId val="1972350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97236608"/>
        <c:crosses val="autoZero"/>
        <c:auto val="1"/>
        <c:lblAlgn val="ctr"/>
        <c:lblOffset val="100"/>
        <c:noMultiLvlLbl val="0"/>
      </c:catAx>
      <c:valAx>
        <c:axId val="197236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9723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'Large 1'!$B$42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'Large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'Large 1'!$C$42:$N$42</c:f>
              <c:numCache>
                <c:formatCode>#,##0</c:formatCode>
                <c:ptCount val="12"/>
                <c:pt idx="0">
                  <c:v>62705819</c:v>
                </c:pt>
                <c:pt idx="1">
                  <c:v>49485608</c:v>
                </c:pt>
                <c:pt idx="2">
                  <c:v>22929726</c:v>
                </c:pt>
                <c:pt idx="3">
                  <c:v>0</c:v>
                </c:pt>
                <c:pt idx="4" formatCode="#,##0.0">
                  <c:v>0</c:v>
                </c:pt>
                <c:pt idx="5" formatCode="#,##0.0">
                  <c:v>0</c:v>
                </c:pt>
                <c:pt idx="6" formatCode="#,##0.0">
                  <c:v>48174191</c:v>
                </c:pt>
                <c:pt idx="7" formatCode="#,##0.0">
                  <c:v>49485608</c:v>
                </c:pt>
                <c:pt idx="8" formatCode="#,##0.0">
                  <c:v>20305710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257472"/>
        <c:axId val="197263360"/>
      </c:barChart>
      <c:catAx>
        <c:axId val="1972574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97263360"/>
        <c:crosses val="autoZero"/>
        <c:auto val="1"/>
        <c:lblAlgn val="ctr"/>
        <c:lblOffset val="100"/>
        <c:noMultiLvlLbl val="0"/>
      </c:catAx>
      <c:valAx>
        <c:axId val="197263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9725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'Large 2'!$B$39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'Large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'Large 2'!$C$39:$N$39</c:f>
              <c:numCache>
                <c:formatCode>#,##0.0</c:formatCode>
                <c:ptCount val="12"/>
                <c:pt idx="0">
                  <c:v>135159</c:v>
                </c:pt>
                <c:pt idx="1">
                  <c:v>46789.999999999985</c:v>
                </c:pt>
                <c:pt idx="2">
                  <c:v>37941.333333333343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48269</c:v>
                </c:pt>
                <c:pt idx="7">
                  <c:v>25971.333333333336</c:v>
                </c:pt>
                <c:pt idx="8">
                  <c:v>21983.333333333336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'Large 2'!$B$40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'Large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'Large 2'!$C$40:$N$40</c:f>
              <c:numCache>
                <c:formatCode>#,##0.0</c:formatCode>
                <c:ptCount val="12"/>
                <c:pt idx="0">
                  <c:v>247793.66666666669</c:v>
                </c:pt>
                <c:pt idx="1">
                  <c:v>146491</c:v>
                </c:pt>
                <c:pt idx="2">
                  <c:v>115160.99999999999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108834.33333333333</c:v>
                </c:pt>
                <c:pt idx="7">
                  <c:v>22921.333333333328</c:v>
                </c:pt>
                <c:pt idx="8">
                  <c:v>17352.999999999996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966656"/>
        <c:axId val="198997120"/>
      </c:barChart>
      <c:catAx>
        <c:axId val="1989666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98997120"/>
        <c:crosses val="autoZero"/>
        <c:auto val="1"/>
        <c:lblAlgn val="ctr"/>
        <c:lblOffset val="100"/>
        <c:noMultiLvlLbl val="0"/>
      </c:catAx>
      <c:valAx>
        <c:axId val="198997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9896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'Large 2'!$B$42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'Large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'Large 2'!$C$42:$N$42</c:f>
              <c:numCache>
                <c:formatCode>#,##0</c:formatCode>
                <c:ptCount val="12"/>
                <c:pt idx="0">
                  <c:v>9822874416</c:v>
                </c:pt>
                <c:pt idx="1">
                  <c:v>9490545095</c:v>
                </c:pt>
                <c:pt idx="2">
                  <c:v>7473413088</c:v>
                </c:pt>
                <c:pt idx="3">
                  <c:v>0</c:v>
                </c:pt>
                <c:pt idx="4" formatCode="#,##0.0">
                  <c:v>0</c:v>
                </c:pt>
                <c:pt idx="5" formatCode="#,##0.0">
                  <c:v>0</c:v>
                </c:pt>
                <c:pt idx="6" formatCode="#,##0.0">
                  <c:v>9388368563</c:v>
                </c:pt>
                <c:pt idx="7" formatCode="#,##0.0">
                  <c:v>9490545095</c:v>
                </c:pt>
                <c:pt idx="8" formatCode="#,##0.0">
                  <c:v>7260003309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026176"/>
        <c:axId val="199027712"/>
      </c:barChart>
      <c:catAx>
        <c:axId val="1990261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99027712"/>
        <c:crosses val="autoZero"/>
        <c:auto val="1"/>
        <c:lblAlgn val="ctr"/>
        <c:lblOffset val="100"/>
        <c:noMultiLvlLbl val="0"/>
      </c:catAx>
      <c:valAx>
        <c:axId val="199027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99026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'Small M 1'!$B$42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'Small M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1'!$C$42:$N$42</c:f>
              <c:numCache>
                <c:formatCode>#,##0</c:formatCode>
                <c:ptCount val="12"/>
                <c:pt idx="0">
                  <c:v>4777780</c:v>
                </c:pt>
                <c:pt idx="1">
                  <c:v>4777768</c:v>
                </c:pt>
                <c:pt idx="2">
                  <c:v>2372376</c:v>
                </c:pt>
                <c:pt idx="3">
                  <c:v>4777780</c:v>
                </c:pt>
                <c:pt idx="4" formatCode="#,##0.0">
                  <c:v>4777780</c:v>
                </c:pt>
                <c:pt idx="5" formatCode="#,##0.0">
                  <c:v>4777768</c:v>
                </c:pt>
                <c:pt idx="6" formatCode="#,##0.0">
                  <c:v>4777780</c:v>
                </c:pt>
                <c:pt idx="7" formatCode="#,##0.0">
                  <c:v>4777768</c:v>
                </c:pt>
                <c:pt idx="8" formatCode="#,##0.0">
                  <c:v>2080634</c:v>
                </c:pt>
                <c:pt idx="9" formatCode="#,##0.0">
                  <c:v>4777768</c:v>
                </c:pt>
                <c:pt idx="10" formatCode="#,##0.0">
                  <c:v>4777780</c:v>
                </c:pt>
                <c:pt idx="11" formatCode="#,##0.0">
                  <c:v>4777780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650752"/>
        <c:axId val="182652288"/>
      </c:barChart>
      <c:catAx>
        <c:axId val="1826507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82652288"/>
        <c:crosses val="autoZero"/>
        <c:auto val="1"/>
        <c:lblAlgn val="ctr"/>
        <c:lblOffset val="100"/>
        <c:noMultiLvlLbl val="0"/>
      </c:catAx>
      <c:valAx>
        <c:axId val="182652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82650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M 2'!$B$39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M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2'!$C$39:$N$39</c:f>
              <c:numCache>
                <c:formatCode>#,##0.0</c:formatCode>
                <c:ptCount val="12"/>
                <c:pt idx="0">
                  <c:v>2021.3333333333335</c:v>
                </c:pt>
                <c:pt idx="1">
                  <c:v>544</c:v>
                </c:pt>
                <c:pt idx="2">
                  <c:v>576.66666666666663</c:v>
                </c:pt>
                <c:pt idx="3">
                  <c:v>1373.6666666666665</c:v>
                </c:pt>
                <c:pt idx="4">
                  <c:v>1767.666666666667</c:v>
                </c:pt>
                <c:pt idx="5">
                  <c:v>863.66666666666663</c:v>
                </c:pt>
                <c:pt idx="6">
                  <c:v>531.66666666666663</c:v>
                </c:pt>
                <c:pt idx="7">
                  <c:v>162.33333333333337</c:v>
                </c:pt>
                <c:pt idx="8">
                  <c:v>177.66666666666669</c:v>
                </c:pt>
                <c:pt idx="9">
                  <c:v>3099.333333333333</c:v>
                </c:pt>
                <c:pt idx="10">
                  <c:v>2868.3333333333335</c:v>
                </c:pt>
                <c:pt idx="11">
                  <c:v>3660</c:v>
                </c:pt>
              </c:numCache>
            </c:numRef>
          </c:val>
        </c:ser>
        <c:ser>
          <c:idx val="1"/>
          <c:order val="1"/>
          <c:tx>
            <c:strRef>
              <c:f>'Small M 2'!$B$40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M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2'!$C$40:$N$40</c:f>
              <c:numCache>
                <c:formatCode>#,##0.0</c:formatCode>
                <c:ptCount val="12"/>
                <c:pt idx="0">
                  <c:v>4110.333333333333</c:v>
                </c:pt>
                <c:pt idx="1">
                  <c:v>1119.3333333333335</c:v>
                </c:pt>
                <c:pt idx="2">
                  <c:v>1024.3333333333335</c:v>
                </c:pt>
                <c:pt idx="3">
                  <c:v>2370.0000000000005</c:v>
                </c:pt>
                <c:pt idx="4">
                  <c:v>1713.6666666666665</c:v>
                </c:pt>
                <c:pt idx="5">
                  <c:v>2773</c:v>
                </c:pt>
                <c:pt idx="6">
                  <c:v>895.33333333333326</c:v>
                </c:pt>
                <c:pt idx="7">
                  <c:v>231.33333333333331</c:v>
                </c:pt>
                <c:pt idx="8">
                  <c:v>191.66666666666663</c:v>
                </c:pt>
                <c:pt idx="9">
                  <c:v>5934.3333333333339</c:v>
                </c:pt>
                <c:pt idx="10">
                  <c:v>672.66666666666652</c:v>
                </c:pt>
                <c:pt idx="11">
                  <c:v>1415.6666666666667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751424"/>
        <c:axId val="183752960"/>
      </c:barChart>
      <c:catAx>
        <c:axId val="1837514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83752960"/>
        <c:crosses val="autoZero"/>
        <c:auto val="1"/>
        <c:lblAlgn val="ctr"/>
        <c:lblOffset val="100"/>
        <c:noMultiLvlLbl val="0"/>
      </c:catAx>
      <c:valAx>
        <c:axId val="183752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8375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'Small M 2'!$B$42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'Small M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2'!$C$42:$N$42</c:f>
              <c:numCache>
                <c:formatCode>#,##0</c:formatCode>
                <c:ptCount val="12"/>
                <c:pt idx="0">
                  <c:v>49777780</c:v>
                </c:pt>
                <c:pt idx="1">
                  <c:v>49777768</c:v>
                </c:pt>
                <c:pt idx="2">
                  <c:v>24872376</c:v>
                </c:pt>
                <c:pt idx="3">
                  <c:v>49777780</c:v>
                </c:pt>
                <c:pt idx="4" formatCode="#,##0.0">
                  <c:v>49777780</c:v>
                </c:pt>
                <c:pt idx="5" formatCode="#,##0.0">
                  <c:v>49777768</c:v>
                </c:pt>
                <c:pt idx="6" formatCode="#,##0.0">
                  <c:v>49777780</c:v>
                </c:pt>
                <c:pt idx="7" formatCode="#,##0.0">
                  <c:v>49777768</c:v>
                </c:pt>
                <c:pt idx="8" formatCode="#,##0.0">
                  <c:v>21880634</c:v>
                </c:pt>
                <c:pt idx="9" formatCode="#,##0.0">
                  <c:v>49777768</c:v>
                </c:pt>
                <c:pt idx="10" formatCode="#,##0.0">
                  <c:v>49777780</c:v>
                </c:pt>
                <c:pt idx="11" formatCode="#,##0.0">
                  <c:v>49777780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770112"/>
        <c:axId val="183788288"/>
      </c:barChart>
      <c:catAx>
        <c:axId val="1837701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83788288"/>
        <c:crosses val="autoZero"/>
        <c:auto val="1"/>
        <c:lblAlgn val="ctr"/>
        <c:lblOffset val="100"/>
        <c:noMultiLvlLbl val="0"/>
      </c:catAx>
      <c:valAx>
        <c:axId val="183788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83770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M 3'!$B$39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M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3'!$C$39:$N$39</c:f>
              <c:numCache>
                <c:formatCode>#,##0.0</c:formatCode>
                <c:ptCount val="12"/>
                <c:pt idx="0">
                  <c:v>18832.666666666664</c:v>
                </c:pt>
                <c:pt idx="1">
                  <c:v>5477.333333333333</c:v>
                </c:pt>
                <c:pt idx="2">
                  <c:v>4714.333333333333</c:v>
                </c:pt>
                <c:pt idx="3">
                  <c:v>12745.666666666664</c:v>
                </c:pt>
                <c:pt idx="4">
                  <c:v>14446</c:v>
                </c:pt>
                <c:pt idx="5">
                  <c:v>7690.6666666666661</c:v>
                </c:pt>
                <c:pt idx="6">
                  <c:v>4180.333333333333</c:v>
                </c:pt>
                <c:pt idx="7">
                  <c:v>1428</c:v>
                </c:pt>
                <c:pt idx="8">
                  <c:v>1400.6666666666667</c:v>
                </c:pt>
                <c:pt idx="9">
                  <c:v>26694.333333333332</c:v>
                </c:pt>
                <c:pt idx="10">
                  <c:v>24102</c:v>
                </c:pt>
                <c:pt idx="11">
                  <c:v>31824.333333333332</c:v>
                </c:pt>
              </c:numCache>
            </c:numRef>
          </c:val>
        </c:ser>
        <c:ser>
          <c:idx val="1"/>
          <c:order val="1"/>
          <c:tx>
            <c:strRef>
              <c:f>'Small M 3'!$B$40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M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3'!$C$40:$N$40</c:f>
              <c:numCache>
                <c:formatCode>#,##0.0</c:formatCode>
                <c:ptCount val="12"/>
                <c:pt idx="0">
                  <c:v>40892.333333333343</c:v>
                </c:pt>
                <c:pt idx="1">
                  <c:v>11109.666666666668</c:v>
                </c:pt>
                <c:pt idx="2">
                  <c:v>10243.666666666668</c:v>
                </c:pt>
                <c:pt idx="3">
                  <c:v>23204.333333333332</c:v>
                </c:pt>
                <c:pt idx="4">
                  <c:v>16447.000000000004</c:v>
                </c:pt>
                <c:pt idx="5">
                  <c:v>27439.666666666672</c:v>
                </c:pt>
                <c:pt idx="6">
                  <c:v>6005.6666666666661</c:v>
                </c:pt>
                <c:pt idx="7">
                  <c:v>1942</c:v>
                </c:pt>
                <c:pt idx="8">
                  <c:v>1636.666666666667</c:v>
                </c:pt>
                <c:pt idx="9">
                  <c:v>54901</c:v>
                </c:pt>
                <c:pt idx="10">
                  <c:v>4333.6666666666652</c:v>
                </c:pt>
                <c:pt idx="11">
                  <c:v>13302.000000000002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493184"/>
        <c:axId val="182494720"/>
      </c:barChart>
      <c:catAx>
        <c:axId val="1824931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82494720"/>
        <c:crosses val="autoZero"/>
        <c:auto val="1"/>
        <c:lblAlgn val="ctr"/>
        <c:lblOffset val="100"/>
        <c:noMultiLvlLbl val="0"/>
      </c:catAx>
      <c:valAx>
        <c:axId val="182494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8249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'Small M 3'!$B$42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'Small M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3'!$C$42:$N$42</c:f>
              <c:numCache>
                <c:formatCode>#,##0</c:formatCode>
                <c:ptCount val="12"/>
                <c:pt idx="0">
                  <c:v>517777780</c:v>
                </c:pt>
                <c:pt idx="1">
                  <c:v>517777768</c:v>
                </c:pt>
                <c:pt idx="2">
                  <c:v>266775224</c:v>
                </c:pt>
                <c:pt idx="3">
                  <c:v>517777780</c:v>
                </c:pt>
                <c:pt idx="4" formatCode="#,##0.0">
                  <c:v>517777780</c:v>
                </c:pt>
                <c:pt idx="5" formatCode="#,##0.0">
                  <c:v>517777768</c:v>
                </c:pt>
                <c:pt idx="6" formatCode="#,##0.0">
                  <c:v>517777780</c:v>
                </c:pt>
                <c:pt idx="7" formatCode="#,##0.0">
                  <c:v>517777768</c:v>
                </c:pt>
                <c:pt idx="8" formatCode="#,##0.0">
                  <c:v>237832058</c:v>
                </c:pt>
                <c:pt idx="9" formatCode="#,##0.0">
                  <c:v>517777768</c:v>
                </c:pt>
                <c:pt idx="10" formatCode="#,##0.0">
                  <c:v>517777780</c:v>
                </c:pt>
                <c:pt idx="11" formatCode="#,##0.0">
                  <c:v>517777780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100736"/>
        <c:axId val="184102272"/>
      </c:barChart>
      <c:catAx>
        <c:axId val="1841007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84102272"/>
        <c:crosses val="autoZero"/>
        <c:auto val="1"/>
        <c:lblAlgn val="ctr"/>
        <c:lblOffset val="100"/>
        <c:noMultiLvlLbl val="0"/>
      </c:catAx>
      <c:valAx>
        <c:axId val="184102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84100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C 1'!$B$39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C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1'!$C$39:$N$39</c:f>
              <c:numCache>
                <c:formatCode>#,##0.0</c:formatCode>
                <c:ptCount val="12"/>
                <c:pt idx="0">
                  <c:v>365.66666666666663</c:v>
                </c:pt>
                <c:pt idx="1">
                  <c:v>151.66666666666666</c:v>
                </c:pt>
                <c:pt idx="2">
                  <c:v>69.666666666666671</c:v>
                </c:pt>
                <c:pt idx="3">
                  <c:v>335.66666666666663</c:v>
                </c:pt>
                <c:pt idx="4">
                  <c:v>248.33333333333331</c:v>
                </c:pt>
                <c:pt idx="5">
                  <c:v>184.66666666666669</c:v>
                </c:pt>
                <c:pt idx="6">
                  <c:v>160</c:v>
                </c:pt>
                <c:pt idx="7">
                  <c:v>108.33333333333333</c:v>
                </c:pt>
                <c:pt idx="8">
                  <c:v>103.33333333333333</c:v>
                </c:pt>
                <c:pt idx="9">
                  <c:v>423</c:v>
                </c:pt>
                <c:pt idx="10">
                  <c:v>390.33333333333337</c:v>
                </c:pt>
                <c:pt idx="11">
                  <c:v>503.66666666666663</c:v>
                </c:pt>
              </c:numCache>
            </c:numRef>
          </c:val>
        </c:ser>
        <c:ser>
          <c:idx val="1"/>
          <c:order val="1"/>
          <c:tx>
            <c:strRef>
              <c:f>'Small C 1'!$B$40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C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1'!$C$40:$N$40</c:f>
              <c:numCache>
                <c:formatCode>#,##0.0</c:formatCode>
                <c:ptCount val="12"/>
                <c:pt idx="0">
                  <c:v>597</c:v>
                </c:pt>
                <c:pt idx="1">
                  <c:v>132.00000000000003</c:v>
                </c:pt>
                <c:pt idx="2">
                  <c:v>101.33333333333333</c:v>
                </c:pt>
                <c:pt idx="3">
                  <c:v>344.66666666666669</c:v>
                </c:pt>
                <c:pt idx="4">
                  <c:v>180.66666666666669</c:v>
                </c:pt>
                <c:pt idx="5">
                  <c:v>340.66666666666663</c:v>
                </c:pt>
                <c:pt idx="6">
                  <c:v>201.66666666666669</c:v>
                </c:pt>
                <c:pt idx="7">
                  <c:v>103.66666666666667</c:v>
                </c:pt>
                <c:pt idx="8">
                  <c:v>128.33333333333331</c:v>
                </c:pt>
                <c:pt idx="9">
                  <c:v>780.99999999999989</c:v>
                </c:pt>
                <c:pt idx="10">
                  <c:v>212.33333333333331</c:v>
                </c:pt>
                <c:pt idx="11">
                  <c:v>309.66666666666674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318976"/>
        <c:axId val="184324864"/>
      </c:barChart>
      <c:catAx>
        <c:axId val="1843189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84324864"/>
        <c:crosses val="autoZero"/>
        <c:auto val="1"/>
        <c:lblAlgn val="ctr"/>
        <c:lblOffset val="100"/>
        <c:noMultiLvlLbl val="0"/>
      </c:catAx>
      <c:valAx>
        <c:axId val="184324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8431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Serialization" displayName="Serialization" ref="B57:Y60">
  <autoFilter ref="B57:Y60"/>
  <tableColumns count="24">
    <tableColumn id="2" name="Newtonsoft" totalsRowFunction="custom">
      <totalsRowFormula>AverageNumbers[](Serialization[Newtonsoft])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AverageNumbers[](Serialization[Jil])</totalsRowFormula>
    </tableColumn>
    <tableColumn id="9" name="NetJSON"/>
    <tableColumn id="8" name="Jackson"/>
    <tableColumn id="4" name="DSL-JSON" totalsRowFunction="custom">
      <totalsRowFormula>AverageNumbers[](Serialization[DSL-JSON])</totalsRowFormula>
    </tableColumn>
    <tableColumn id="11" name="Kryo (binary reference)"/>
    <tableColumn id="24" name="Boon"/>
    <tableColumn id="23" name="Alibaba"/>
    <tableColumn id="5" name="Gson" totalsRowFunction="custom">
      <totalsRowFormula>AverageNumbers[](Serialization[Gson])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AverageNumbers[](Serialization[Service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Table17" displayName="Table17" ref="B51:M54">
  <autoFilter ref="B51:M54"/>
  <tableColumns count="12">
    <tableColumn id="2" name="Newtonsoft" totalsRowFunction="custom">
      <totalsRowFormula>Table20[](Table17[Newtonsoft])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Table20[](Table17[Jil])</totalsRowFormula>
    </tableColumn>
    <tableColumn id="10" name="NetJSON"/>
    <tableColumn id="15" name="Jackson"/>
    <tableColumn id="6" name="DSL-JSON" totalsRowFunction="custom">
      <totalsRowFormula>Table20[](Table17[DSL-JSON])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21" name="Table21" displayName="Table21" ref="B57:Y60">
  <autoFilter ref="B57:Y60"/>
  <tableColumns count="24">
    <tableColumn id="2" name="Newtonsoft" totalsRowFunction="custom">
      <totalsRowFormula>Table25[](Table21[Newtonsoft])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Table25[](Table21[Jil])</totalsRowFormula>
    </tableColumn>
    <tableColumn id="9" name="NetJSON"/>
    <tableColumn id="8" name="Jackson"/>
    <tableColumn id="4" name="DSL-JSON" totalsRowFunction="custom">
      <totalsRowFormula>Table25[](Table21[DSL-JSON])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Table25[](Table21[Gson])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Table25[](Table21[Service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5" name="Table25" displayName="Table25" ref="B37:N42" totalsRowShown="0">
  <autoFilter ref="B37:N42"/>
  <tableColumns count="13">
    <tableColumn id="1" name="Average"/>
    <tableColumn id="2" name="Newtonsoft" dataDxfId="383">
      <calculatedColumnFormula>Table25[](Table21[Newtonsoft])</calculatedColumnFormula>
    </tableColumn>
    <tableColumn id="3" name="Revenj" dataDxfId="382"/>
    <tableColumn id="11" name="ProtoBuf (binary reference)" dataDxfId="381"/>
    <tableColumn id="4" name="Service Stack" dataDxfId="380"/>
    <tableColumn id="8" name="Jil" dataDxfId="379"/>
    <tableColumn id="7" name="NetJSON" dataDxfId="378"/>
    <tableColumn id="5" name="Jackson afterburner" dataDxfId="377"/>
    <tableColumn id="6" name="DSL-JSON" dataDxfId="376"/>
    <tableColumn id="9" name="Kryo (binary reference)" dataDxfId="375"/>
    <tableColumn id="13" name="Boon" dataDxfId="374"/>
    <tableColumn id="12" name="Alibaba" dataDxfId="373"/>
    <tableColumn id="10" name="Gson" dataDxfId="37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4" name="Table24" displayName="Table24" ref="B46:N48" totalsRowShown="0">
  <autoFilter ref="B46:N48"/>
  <tableColumns count="13">
    <tableColumn id="1" name="Deviation"/>
    <tableColumn id="2" name="Newtonsoft" dataDxfId="371">
      <calculatedColumnFormula>Table25[](Table21[Newtonsoft])</calculatedColumnFormula>
    </tableColumn>
    <tableColumn id="3" name="Revenj" dataDxfId="370"/>
    <tableColumn id="11" name="Protobuf (binary reference)" dataDxfId="369"/>
    <tableColumn id="4" name="Service Stack" dataDxfId="368"/>
    <tableColumn id="5" name="Jil" dataDxfId="367">
      <calculatedColumnFormula>DEVSQ(Table21[Jil])</calculatedColumnFormula>
    </tableColumn>
    <tableColumn id="6" name="NetJSON" dataDxfId="366">
      <calculatedColumnFormula>DEVSQ(Table23[NetJSON])</calculatedColumnFormula>
    </tableColumn>
    <tableColumn id="7" name="Jackson afterburner" dataDxfId="365"/>
    <tableColumn id="8" name="DSL-JSON" dataDxfId="364"/>
    <tableColumn id="9" name="Kryo (binary reference)" dataDxfId="363"/>
    <tableColumn id="13" name="Boon" dataDxfId="362"/>
    <tableColumn id="12" name="Alibaba" dataDxfId="361"/>
    <tableColumn id="10" name="Gson" dataDxfId="36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23" name="Table23" displayName="Table23" ref="B63:M66">
  <autoFilter ref="B63:M66"/>
  <tableColumns count="12">
    <tableColumn id="2" name="Newtonsoft" totalsRowFunction="custom">
      <totalsRowFormula>Table25[](Table23[Newtonsoft])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Table25[](Table23[Jil])</totalsRowFormula>
    </tableColumn>
    <tableColumn id="10" name="NetJSON"/>
    <tableColumn id="15" name="Jackson"/>
    <tableColumn id="6" name="DSL-JSON" totalsRowFunction="custom">
      <totalsRowFormula>Table25[](Table23[DSL-JSON])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22" name="Table22" displayName="Table22" ref="B51:M54">
  <autoFilter ref="B51:M54"/>
  <tableColumns count="12">
    <tableColumn id="2" name="Newtonsoft" totalsRowFunction="custom">
      <totalsRowFormula>Table25[](Table22[Newtonsoft])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Table25[](Table22[Jil])</totalsRowFormula>
    </tableColumn>
    <tableColumn id="10" name="NetJSON"/>
    <tableColumn id="15" name="Jackson"/>
    <tableColumn id="6" name="DSL-JSON" totalsRowFunction="custom">
      <totalsRowFormula>Table25[](Table22[DSL-JSON])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26" name="Table26" displayName="Table26" ref="B57:Y60">
  <autoFilter ref="B57:Y60"/>
  <tableColumns count="24">
    <tableColumn id="2" name="Newtonsoft" totalsRowFunction="custom">
      <totalsRowFormula>Table30[](Table26[Newtonsoft])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Table30[](Table26[Jil])</totalsRowFormula>
    </tableColumn>
    <tableColumn id="9" name="NetJSON"/>
    <tableColumn id="8" name="Jackson"/>
    <tableColumn id="4" name="DSL-JSON" totalsRowFunction="custom">
      <totalsRowFormula>Table30[](Table26[DSL-JSON])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Table30[](Table26[Gson])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Table30[](Table26[Service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30" name="Table30" displayName="Table30" ref="B37:N42" totalsRowShown="0">
  <autoFilter ref="B37:N42"/>
  <tableColumns count="13">
    <tableColumn id="1" name="Average"/>
    <tableColumn id="2" name="Newtonsoft" dataDxfId="359">
      <calculatedColumnFormula>Table30[](Table26[Newtonsoft])</calculatedColumnFormula>
    </tableColumn>
    <tableColumn id="3" name="Revenj" dataDxfId="358"/>
    <tableColumn id="11" name="ProtoBuf (binary reference)" dataDxfId="357"/>
    <tableColumn id="4" name="Service Stack" dataDxfId="356"/>
    <tableColumn id="8" name="Jil" dataDxfId="355"/>
    <tableColumn id="7" name="NetJSON" dataDxfId="354"/>
    <tableColumn id="5" name="Jackson afterburner" dataDxfId="353"/>
    <tableColumn id="6" name="DSL-JSON" dataDxfId="352"/>
    <tableColumn id="9" name="Kryo (binary reference)" dataDxfId="351"/>
    <tableColumn id="13" name="Boon" dataDxfId="350"/>
    <tableColumn id="12" name="Alibaba" dataDxfId="349"/>
    <tableColumn id="10" name="Gson" dataDxfId="34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9" name="Table29" displayName="Table29" ref="B46:N48" totalsRowShown="0">
  <autoFilter ref="B46:N48"/>
  <tableColumns count="13">
    <tableColumn id="1" name="Deviation"/>
    <tableColumn id="2" name="Newtonsoft" dataDxfId="347">
      <calculatedColumnFormula>Table30[](Table26[Newtonsoft])</calculatedColumnFormula>
    </tableColumn>
    <tableColumn id="3" name="Revenj" dataDxfId="346"/>
    <tableColumn id="11" name="Protobuf (binary reference)" dataDxfId="345"/>
    <tableColumn id="4" name="Service Stack" dataDxfId="344"/>
    <tableColumn id="5" name="Jil" dataDxfId="343">
      <calculatedColumnFormula>DEVSQ(Table26[Jil])</calculatedColumnFormula>
    </tableColumn>
    <tableColumn id="6" name="NetJSON" dataDxfId="342">
      <calculatedColumnFormula>DEVSQ(Table28[NetJSON])</calculatedColumnFormula>
    </tableColumn>
    <tableColumn id="7" name="Jackson afterburner" dataDxfId="341"/>
    <tableColumn id="8" name="DSL-JSON" dataDxfId="340"/>
    <tableColumn id="9" name="Kryo (binary reference)" dataDxfId="339"/>
    <tableColumn id="13" name="Boon" dataDxfId="338"/>
    <tableColumn id="12" name="Alibaba" dataDxfId="337"/>
    <tableColumn id="10" name="Gson" dataDxfId="33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8" name="Table28" displayName="Table28" ref="B63:M66">
  <autoFilter ref="B63:M66"/>
  <tableColumns count="12">
    <tableColumn id="2" name="Newtonsoft" totalsRowFunction="custom">
      <totalsRowFormula>Table30[](Table28[Newtonsoft])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Table30[](Table28[Jil])</totalsRowFormula>
    </tableColumn>
    <tableColumn id="10" name="NetJSON"/>
    <tableColumn id="15" name="Jackson"/>
    <tableColumn id="6" name="DSL-JSON" totalsRowFunction="custom">
      <totalsRowFormula>Table30[](Table28[DSL-JSON])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AverageNumbers" displayName="AverageNumbers" ref="B37:N42" totalsRowShown="0">
  <autoFilter ref="B37:N42"/>
  <tableColumns count="13">
    <tableColumn id="1" name="Average"/>
    <tableColumn id="2" name="Newtonsoft" dataDxfId="431">
      <calculatedColumnFormula>AverageNumbers[](Serialization[Newtonsoft])</calculatedColumnFormula>
    </tableColumn>
    <tableColumn id="3" name="Revenj" dataDxfId="430"/>
    <tableColumn id="11" name="ProtoBuf (binary reference)" dataDxfId="429"/>
    <tableColumn id="4" name="Service Stack" dataDxfId="428"/>
    <tableColumn id="8" name="Jil" dataDxfId="427"/>
    <tableColumn id="7" name="NetJSON" dataDxfId="426"/>
    <tableColumn id="5" name="Jackson afterburner" dataDxfId="425"/>
    <tableColumn id="6" name="DSL-JSON" dataDxfId="424"/>
    <tableColumn id="9" name="Kryo (binary reference)" dataDxfId="423"/>
    <tableColumn id="13" name="Boon" dataDxfId="422"/>
    <tableColumn id="12" name="Alibaba" dataDxfId="421"/>
    <tableColumn id="10" name="Gson" dataDxfId="420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7" name="Table27" displayName="Table27" ref="B51:M54">
  <autoFilter ref="B51:M54"/>
  <tableColumns count="12">
    <tableColumn id="2" name="Newtonsoft" totalsRowFunction="custom">
      <totalsRowFormula>Table30[](Table27[Newtonsoft])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Table30[](Table27[Jil])</totalsRowFormula>
    </tableColumn>
    <tableColumn id="10" name="NetJSON"/>
    <tableColumn id="15" name="Jackson"/>
    <tableColumn id="6" name="DSL-JSON" totalsRowFunction="custom">
      <totalsRowFormula>Table30[](Table27[DSL-JSON])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31" name="Table31" displayName="Table31" ref="B57:Y60">
  <autoFilter ref="B57:Y60"/>
  <tableColumns count="24">
    <tableColumn id="2" name="Newtonsoft" totalsRowFunction="custom">
      <totalsRowFormula>Table35[](Table31[Newtonsoft])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Table35[](Table31[Jil])</totalsRowFormula>
    </tableColumn>
    <tableColumn id="9" name="NetJSON"/>
    <tableColumn id="8" name="Jackson"/>
    <tableColumn id="4" name="DSL-JSON" totalsRowFunction="custom">
      <totalsRowFormula>Table35[](Table31[DSL-JSON])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Table35[](Table31[Gson])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Table35[](Table31[Service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35" name="Table35" displayName="Table35" ref="B37:N42" totalsRowShown="0">
  <autoFilter ref="B37:N42"/>
  <tableColumns count="13">
    <tableColumn id="1" name="Average"/>
    <tableColumn id="2" name="Newtonsoft" dataDxfId="335">
      <calculatedColumnFormula>Table35[](Table31[Newtonsoft])</calculatedColumnFormula>
    </tableColumn>
    <tableColumn id="3" name="Revenj" dataDxfId="334"/>
    <tableColumn id="11" name="ProtoBuf (binary reference)" dataDxfId="333"/>
    <tableColumn id="4" name="Service Stack" dataDxfId="332"/>
    <tableColumn id="8" name="Jil" dataDxfId="331"/>
    <tableColumn id="7" name="NetJSON" dataDxfId="330"/>
    <tableColumn id="5" name="Jackson afterburner" dataDxfId="329"/>
    <tableColumn id="6" name="DSL-JSON" dataDxfId="328"/>
    <tableColumn id="9" name="Kryo (binary reference)" dataDxfId="327"/>
    <tableColumn id="13" name="Boon" dataDxfId="326"/>
    <tableColumn id="12" name="Alibaba" dataDxfId="325"/>
    <tableColumn id="10" name="Gson" dataDxfId="32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34" name="Table34" displayName="Table34" ref="B46:N48" totalsRowShown="0">
  <autoFilter ref="B46:N48"/>
  <tableColumns count="13">
    <tableColumn id="1" name="Deviation"/>
    <tableColumn id="2" name="Newtonsoft" dataDxfId="323">
      <calculatedColumnFormula>Table35[](Table31[Newtonsoft])</calculatedColumnFormula>
    </tableColumn>
    <tableColumn id="3" name="Revenj" dataDxfId="322"/>
    <tableColumn id="11" name="Protobuf (binary reference)" dataDxfId="321"/>
    <tableColumn id="4" name="Service Stack" dataDxfId="320"/>
    <tableColumn id="5" name="Jil" dataDxfId="319">
      <calculatedColumnFormula>DEVSQ(Table31[Jil])</calculatedColumnFormula>
    </tableColumn>
    <tableColumn id="6" name="NetJSON" dataDxfId="318">
      <calculatedColumnFormula>DEVSQ(Table33[NetJSON])</calculatedColumnFormula>
    </tableColumn>
    <tableColumn id="7" name="Jackson afterburner" dataDxfId="317"/>
    <tableColumn id="8" name="DSL-JSON" dataDxfId="316"/>
    <tableColumn id="9" name="Kryo (binary reference)" dataDxfId="315"/>
    <tableColumn id="13" name="Boon" dataDxfId="314"/>
    <tableColumn id="12" name="Alibaba" dataDxfId="313"/>
    <tableColumn id="10" name="Gson" dataDxfId="31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33" name="Table33" displayName="Table33" ref="B63:M66">
  <autoFilter ref="B63:M66"/>
  <tableColumns count="12">
    <tableColumn id="2" name="Newtonsoft" totalsRowFunction="custom">
      <totalsRowFormula>Table35[](Table33[Newtonsoft])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Table35[](Table33[Jil])</totalsRowFormula>
    </tableColumn>
    <tableColumn id="10" name="NetJSON"/>
    <tableColumn id="15" name="Jackson"/>
    <tableColumn id="6" name="DSL-JSON" totalsRowFunction="custom">
      <totalsRowFormula>Table35[](Table33[DSL-JSON])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32" name="Table32" displayName="Table32" ref="B51:M54">
  <autoFilter ref="B51:M54"/>
  <tableColumns count="12">
    <tableColumn id="2" name="Newtonsoft" totalsRowFunction="custom">
      <totalsRowFormula>Table35[](Table32[Newtonsoft])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Table35[](Table32[Jil])</totalsRowFormula>
    </tableColumn>
    <tableColumn id="10" name="NetJSON"/>
    <tableColumn id="15" name="Jackson"/>
    <tableColumn id="6" name="DSL-JSON" totalsRowFunction="custom">
      <totalsRowFormula>Table35[](Table32[DSL-JSON])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36" name="Table36" displayName="Table36" ref="B57:Y60">
  <autoFilter ref="B57:Y60"/>
  <tableColumns count="24">
    <tableColumn id="2" name="Newtonsoft" totalsRowFunction="custom">
      <totalsRowFormula>Table40[](Table36[Newtonsoft])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Table40[](Table36[Jil])</totalsRowFormula>
    </tableColumn>
    <tableColumn id="9" name="NetJSON"/>
    <tableColumn id="8" name="Jackson"/>
    <tableColumn id="4" name="DSL-JSON" totalsRowFunction="custom">
      <totalsRowFormula>Table40[](Table36[DSL-JSON])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Table40[](Table36[Gson])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Table40[](Table36[Service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40" name="Table40" displayName="Table40" ref="B37:N42" totalsRowShown="0">
  <autoFilter ref="B37:N42"/>
  <tableColumns count="13">
    <tableColumn id="1" name="Average"/>
    <tableColumn id="2" name="Newtonsoft" dataDxfId="311">
      <calculatedColumnFormula>Table40[](Table36[Newtonsoft])</calculatedColumnFormula>
    </tableColumn>
    <tableColumn id="3" name="Revenj" dataDxfId="310"/>
    <tableColumn id="11" name="ProtoBuf (binary reference)" dataDxfId="309"/>
    <tableColumn id="4" name="Service Stack" dataDxfId="308"/>
    <tableColumn id="8" name="Jil" dataDxfId="307"/>
    <tableColumn id="7" name="NetJSON" dataDxfId="306"/>
    <tableColumn id="5" name="Jackson afterburner" dataDxfId="305"/>
    <tableColumn id="6" name="DSL-JSON" dataDxfId="304"/>
    <tableColumn id="9" name="Kryo (binary reference)" dataDxfId="303"/>
    <tableColumn id="13" name="Boon" dataDxfId="302"/>
    <tableColumn id="12" name="Alibaba" dataDxfId="301"/>
    <tableColumn id="10" name="Gson" dataDxfId="300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9" name="Table39" displayName="Table39" ref="B46:N48" totalsRowShown="0">
  <autoFilter ref="B46:N48"/>
  <tableColumns count="13">
    <tableColumn id="1" name="Deviation"/>
    <tableColumn id="2" name="Newtonsoft" dataDxfId="299">
      <calculatedColumnFormula>Table40[](Table36[Newtonsoft])</calculatedColumnFormula>
    </tableColumn>
    <tableColumn id="3" name="Revenj" dataDxfId="298"/>
    <tableColumn id="11" name="Protobuf (binary reference)" dataDxfId="297"/>
    <tableColumn id="4" name="Service Stack" dataDxfId="296"/>
    <tableColumn id="5" name="Jil" dataDxfId="295">
      <calculatedColumnFormula>DEVSQ(Table36[Jil])</calculatedColumnFormula>
    </tableColumn>
    <tableColumn id="6" name="NetJSON" dataDxfId="294">
      <calculatedColumnFormula>DEVSQ(Table38[NetJSON])</calculatedColumnFormula>
    </tableColumn>
    <tableColumn id="7" name="Jackson afterburner" dataDxfId="293"/>
    <tableColumn id="8" name="DSL-JSON" dataDxfId="292"/>
    <tableColumn id="9" name="Kryo (binary reference)" dataDxfId="291"/>
    <tableColumn id="13" name="Boon" dataDxfId="290"/>
    <tableColumn id="12" name="Alibaba" dataDxfId="289"/>
    <tableColumn id="10" name="Gson" dataDxfId="288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8" name="Table38" displayName="Table38" ref="B63:M66">
  <autoFilter ref="B63:M66"/>
  <tableColumns count="12">
    <tableColumn id="2" name="Newtonsoft" totalsRowFunction="custom">
      <totalsRowFormula>Table40[](Table38[Newtonsoft])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Table40[](Table38[Jil])</totalsRowFormula>
    </tableColumn>
    <tableColumn id="10" name="NetJSON"/>
    <tableColumn id="15" name="Jackson"/>
    <tableColumn id="6" name="DSL-JSON" totalsRowFunction="custom">
      <totalsRowFormula>Table40[](Table38[DSL-JSON])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DeviationNumbers" displayName="DeviationNumbers" ref="B46:N48" totalsRowShown="0">
  <autoFilter ref="B46:N48"/>
  <tableColumns count="13">
    <tableColumn id="1" name="Deviation"/>
    <tableColumn id="2" name="Newtonsoft" dataDxfId="419">
      <calculatedColumnFormula>AverageNumbers[](Serialization[Newtonsoft])</calculatedColumnFormula>
    </tableColumn>
    <tableColumn id="3" name="Revenj" dataDxfId="418"/>
    <tableColumn id="11" name="Protobuf (binary reference)" dataDxfId="417"/>
    <tableColumn id="4" name="Service Stack" dataDxfId="416"/>
    <tableColumn id="5" name="Jil" dataDxfId="415">
      <calculatedColumnFormula>DEVSQ(Serialization[Jil])</calculatedColumnFormula>
    </tableColumn>
    <tableColumn id="6" name="NetJSON" dataDxfId="414">
      <calculatedColumnFormula>DEVSQ(Both[NetJSON])</calculatedColumnFormula>
    </tableColumn>
    <tableColumn id="7" name="Jackson afterburner" dataDxfId="413"/>
    <tableColumn id="8" name="DSL-JSON" dataDxfId="412"/>
    <tableColumn id="9" name="Kryo (binary reference)" dataDxfId="411"/>
    <tableColumn id="13" name="Boon" dataDxfId="410"/>
    <tableColumn id="12" name="Alibaba" dataDxfId="409"/>
    <tableColumn id="10" name="Gson" dataDxfId="408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7" name="Table37" displayName="Table37" ref="B51:M54">
  <autoFilter ref="B51:M54"/>
  <tableColumns count="12">
    <tableColumn id="2" name="Newtonsoft" totalsRowFunction="custom">
      <totalsRowFormula>Table40[](Table37[Newtonsoft])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Table40[](Table37[Jil])</totalsRowFormula>
    </tableColumn>
    <tableColumn id="10" name="NetJSON"/>
    <tableColumn id="15" name="Jackson"/>
    <tableColumn id="6" name="DSL-JSON" totalsRowFunction="custom">
      <totalsRowFormula>Table40[](Table37[DSL-JSON])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41" name="Table41" displayName="Table41" ref="B57:Y60">
  <autoFilter ref="B57:Y60"/>
  <tableColumns count="24">
    <tableColumn id="2" name="Newtonsoft" totalsRowFunction="custom">
      <totalsRowFormula>Table45[](Table41[Newtonsoft])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Table45[](Table41[Jil])</totalsRowFormula>
    </tableColumn>
    <tableColumn id="9" name="NetJSON"/>
    <tableColumn id="8" name="Jackson"/>
    <tableColumn id="4" name="DSL-JSON" totalsRowFunction="custom">
      <totalsRowFormula>Table45[](Table41[DSL-JSON])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Table45[](Table41[Gson])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Table45[](Table41[Service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45" name="Table45" displayName="Table45" ref="B37:N42" totalsRowShown="0">
  <autoFilter ref="B37:N42"/>
  <tableColumns count="13">
    <tableColumn id="1" name="Average"/>
    <tableColumn id="2" name="Newtonsoft" dataDxfId="287">
      <calculatedColumnFormula>Table45[](Table41[Newtonsoft])</calculatedColumnFormula>
    </tableColumn>
    <tableColumn id="3" name="Revenj" dataDxfId="286"/>
    <tableColumn id="11" name="ProtoBuf (binary reference)" dataDxfId="285"/>
    <tableColumn id="4" name="Service Stack" dataDxfId="284"/>
    <tableColumn id="8" name="Jil" dataDxfId="283"/>
    <tableColumn id="7" name="NetJSON" dataDxfId="282"/>
    <tableColumn id="5" name="Jackson afterburner" dataDxfId="281"/>
    <tableColumn id="6" name="DSL-JSON" dataDxfId="280"/>
    <tableColumn id="9" name="Kryo (binary reference)" dataDxfId="279"/>
    <tableColumn id="13" name="Boon" dataDxfId="278"/>
    <tableColumn id="12" name="Alibaba" dataDxfId="277"/>
    <tableColumn id="10" name="Gson" dataDxfId="276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44" name="Table44" displayName="Table44" ref="B46:N48" totalsRowShown="0">
  <autoFilter ref="B46:N48"/>
  <tableColumns count="13">
    <tableColumn id="1" name="Deviation"/>
    <tableColumn id="2" name="Newtonsoft" dataDxfId="275">
      <calculatedColumnFormula>Table45[](Table41[Newtonsoft])</calculatedColumnFormula>
    </tableColumn>
    <tableColumn id="3" name="Revenj" dataDxfId="274"/>
    <tableColumn id="11" name="Protobuf (binary reference)" dataDxfId="273"/>
    <tableColumn id="4" name="Service Stack" dataDxfId="272"/>
    <tableColumn id="5" name="Jil" dataDxfId="271">
      <calculatedColumnFormula>DEVSQ(Table41[Jil])</calculatedColumnFormula>
    </tableColumn>
    <tableColumn id="6" name="NetJSON" dataDxfId="270">
      <calculatedColumnFormula>DEVSQ(Table43[NetJSON])</calculatedColumnFormula>
    </tableColumn>
    <tableColumn id="7" name="Jackson afterburner" dataDxfId="269"/>
    <tableColumn id="8" name="DSL-JSON" dataDxfId="268"/>
    <tableColumn id="9" name="Kryo (binary reference)" dataDxfId="267"/>
    <tableColumn id="13" name="Boon" dataDxfId="266"/>
    <tableColumn id="12" name="Alibaba" dataDxfId="265"/>
    <tableColumn id="10" name="Gson" dataDxfId="264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43" name="Table43" displayName="Table43" ref="B63:M66">
  <autoFilter ref="B63:M66"/>
  <tableColumns count="12">
    <tableColumn id="2" name="Newtonsoft" totalsRowFunction="custom">
      <totalsRowFormula>Table45[](Table43[Newtonsoft])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Table45[](Table43[Jil])</totalsRowFormula>
    </tableColumn>
    <tableColumn id="10" name="NetJSON"/>
    <tableColumn id="15" name="Jackson"/>
    <tableColumn id="6" name="DSL-JSON" totalsRowFunction="custom">
      <totalsRowFormula>Table45[](Table43[DSL-JSON])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42" name="Table42" displayName="Table42" ref="B51:M54">
  <autoFilter ref="B51:M54"/>
  <tableColumns count="12">
    <tableColumn id="2" name="Newtonsoft" totalsRowFunction="custom">
      <totalsRowFormula>Table45[](Table42[Newtonsoft])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Table45[](Table42[Jil])</totalsRowFormula>
    </tableColumn>
    <tableColumn id="10" name="NetJSON"/>
    <tableColumn id="15" name="Jackson"/>
    <tableColumn id="6" name="DSL-JSON" totalsRowFunction="custom">
      <totalsRowFormula>Table45[](Table42[DSL-JSON])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46" name="Table46" displayName="Table46" ref="B57:Y60">
  <autoFilter ref="B57:Y60"/>
  <tableColumns count="24">
    <tableColumn id="2" name="Newtonsoft" totalsRowFunction="custom">
      <totalsRowFormula>Table50[](Table46[Newtonsoft])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Table50[](Table46[Jil])</totalsRowFormula>
    </tableColumn>
    <tableColumn id="9" name="NetJSON"/>
    <tableColumn id="8" name="Jackson"/>
    <tableColumn id="4" name="DSL-JSON" totalsRowFunction="custom">
      <totalsRowFormula>Table50[](Table46[DSL-JSON])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Table50[](Table46[Gson])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Table50[](Table46[Service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50" name="Table50" displayName="Table50" ref="B37:N42" totalsRowShown="0">
  <autoFilter ref="B37:N42"/>
  <tableColumns count="13">
    <tableColumn id="1" name="Average"/>
    <tableColumn id="2" name="Newtonsoft" dataDxfId="263">
      <calculatedColumnFormula>Table50[](Table46[Newtonsoft])</calculatedColumnFormula>
    </tableColumn>
    <tableColumn id="3" name="Revenj" dataDxfId="262"/>
    <tableColumn id="11" name="ProtoBuf (binary reference)" dataDxfId="261"/>
    <tableColumn id="4" name="Service Stack" dataDxfId="260"/>
    <tableColumn id="8" name="Jil" dataDxfId="259"/>
    <tableColumn id="7" name="NetJSON" dataDxfId="258"/>
    <tableColumn id="5" name="Jackson afterburner" dataDxfId="257"/>
    <tableColumn id="6" name="DSL-JSON" dataDxfId="256"/>
    <tableColumn id="9" name="Kryo (binary reference)" dataDxfId="255"/>
    <tableColumn id="13" name="Boon" dataDxfId="254"/>
    <tableColumn id="12" name="Alibaba" dataDxfId="253"/>
    <tableColumn id="10" name="Gson" dataDxfId="252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49" name="Table49" displayName="Table49" ref="B46:N48" totalsRowShown="0">
  <autoFilter ref="B46:N48"/>
  <tableColumns count="13">
    <tableColumn id="1" name="Deviation"/>
    <tableColumn id="2" name="Newtonsoft" dataDxfId="251">
      <calculatedColumnFormula>Table50[](Table46[Newtonsoft])</calculatedColumnFormula>
    </tableColumn>
    <tableColumn id="3" name="Revenj" dataDxfId="250"/>
    <tableColumn id="11" name="Protobuf (binary reference)" dataDxfId="249"/>
    <tableColumn id="4" name="Service Stack" dataDxfId="248"/>
    <tableColumn id="5" name="Jil" dataDxfId="247">
      <calculatedColumnFormula>DEVSQ(Table46[Jil])</calculatedColumnFormula>
    </tableColumn>
    <tableColumn id="6" name="NetJSON" dataDxfId="246">
      <calculatedColumnFormula>DEVSQ(Table48[NetJSON])</calculatedColumnFormula>
    </tableColumn>
    <tableColumn id="7" name="Jackson afterburner" dataDxfId="245"/>
    <tableColumn id="8" name="DSL-JSON" dataDxfId="244"/>
    <tableColumn id="9" name="Kryo (binary reference)" dataDxfId="243"/>
    <tableColumn id="13" name="Boon" dataDxfId="242"/>
    <tableColumn id="12" name="Alibaba" dataDxfId="241"/>
    <tableColumn id="10" name="Gson" dataDxfId="240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48" name="Table48" displayName="Table48" ref="B63:M66">
  <autoFilter ref="B63:M66"/>
  <tableColumns count="12">
    <tableColumn id="2" name="Newtonsoft" totalsRowFunction="custom">
      <totalsRowFormula>Table50[](Table48[Newtonsoft])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Table50[](Table48[Jil])</totalsRowFormula>
    </tableColumn>
    <tableColumn id="10" name="NetJSON"/>
    <tableColumn id="15" name="Jackson"/>
    <tableColumn id="6" name="DSL-JSON" totalsRowFunction="custom">
      <totalsRowFormula>Table50[](Table48[DSL-JSON])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Both" displayName="Both" ref="B63:M66">
  <autoFilter ref="B63:M66"/>
  <tableColumns count="12">
    <tableColumn id="2" name="Newtonsoft" totalsRowFunction="custom">
      <totalsRowFormula>AverageNumbers[](Both[Newtonsoft])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AverageNumbers[](Both[Jil])</totalsRowFormula>
    </tableColumn>
    <tableColumn id="10" name="NetJSON"/>
    <tableColumn id="15" name="Jackson"/>
    <tableColumn id="6" name="DSL-JSON" totalsRowFunction="custom">
      <totalsRowFormula>AverageNumbers[](Both[DSL-JSON])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47" name="Table47" displayName="Table47" ref="B51:M54">
  <autoFilter ref="B51:M54"/>
  <tableColumns count="12">
    <tableColumn id="2" name="Newtonsoft" totalsRowFunction="custom">
      <totalsRowFormula>Table50[](Table47[Newtonsoft])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Table50[](Table47[Jil])</totalsRowFormula>
    </tableColumn>
    <tableColumn id="10" name="NetJSON"/>
    <tableColumn id="15" name="Jackson"/>
    <tableColumn id="6" name="DSL-JSON" totalsRowFunction="custom">
      <totalsRowFormula>Table50[](Table47[DSL-JSON])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id="51" name="Table51" displayName="Table51" ref="B57:Y60">
  <autoFilter ref="B57:Y60"/>
  <tableColumns count="24">
    <tableColumn id="2" name="Newtonsoft" totalsRowFunction="custom">
      <totalsRowFormula>Table55[](Table51[Newtonsoft])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Table55[](Table51[Jil])</totalsRowFormula>
    </tableColumn>
    <tableColumn id="9" name="NetJSON"/>
    <tableColumn id="8" name="Jackson"/>
    <tableColumn id="4" name="DSL-JSON" totalsRowFunction="custom">
      <totalsRowFormula>Table55[](Table51[DSL-JSON])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Table55[](Table51[Gson])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Table55[](Table51[Service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id="55" name="Table55" displayName="Table55" ref="B37:N42" totalsRowShown="0">
  <autoFilter ref="B37:N42"/>
  <tableColumns count="13">
    <tableColumn id="1" name="Average"/>
    <tableColumn id="2" name="Newtonsoft" dataDxfId="239">
      <calculatedColumnFormula>Table55[](Table51[Newtonsoft])</calculatedColumnFormula>
    </tableColumn>
    <tableColumn id="3" name="Revenj" dataDxfId="238"/>
    <tableColumn id="11" name="ProtoBuf (binary reference)" dataDxfId="237"/>
    <tableColumn id="4" name="Service Stack" dataDxfId="236"/>
    <tableColumn id="8" name="Jil" dataDxfId="235"/>
    <tableColumn id="7" name="NetJSON" dataDxfId="234"/>
    <tableColumn id="5" name="Jackson afterburner" dataDxfId="233"/>
    <tableColumn id="6" name="DSL-JSON" dataDxfId="232"/>
    <tableColumn id="9" name="Kryo (binary reference)" dataDxfId="231"/>
    <tableColumn id="13" name="Boon" dataDxfId="230"/>
    <tableColumn id="12" name="Alibaba" dataDxfId="229"/>
    <tableColumn id="10" name="Gson" dataDxfId="228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id="54" name="Table54" displayName="Table54" ref="B46:N48" totalsRowShown="0">
  <autoFilter ref="B46:N48"/>
  <tableColumns count="13">
    <tableColumn id="1" name="Deviation"/>
    <tableColumn id="2" name="Newtonsoft" dataDxfId="227">
      <calculatedColumnFormula>Table55[](Table51[Newtonsoft])</calculatedColumnFormula>
    </tableColumn>
    <tableColumn id="3" name="Revenj" dataDxfId="226"/>
    <tableColumn id="11" name="Protobuf (binary reference)" dataDxfId="225"/>
    <tableColumn id="4" name="Service Stack" dataDxfId="224"/>
    <tableColumn id="5" name="Jil" dataDxfId="223">
      <calculatedColumnFormula>DEVSQ(Table51[Jil])</calculatedColumnFormula>
    </tableColumn>
    <tableColumn id="6" name="NetJSON" dataDxfId="222">
      <calculatedColumnFormula>DEVSQ(Table53[NetJSON])</calculatedColumnFormula>
    </tableColumn>
    <tableColumn id="7" name="Jackson afterburner" dataDxfId="221"/>
    <tableColumn id="8" name="DSL-JSON" dataDxfId="220"/>
    <tableColumn id="9" name="Kryo (binary reference)" dataDxfId="219"/>
    <tableColumn id="13" name="Boon" dataDxfId="218"/>
    <tableColumn id="12" name="Alibaba" dataDxfId="217"/>
    <tableColumn id="10" name="Gson" dataDxfId="216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id="53" name="Table53" displayName="Table53" ref="B63:M66">
  <autoFilter ref="B63:M66"/>
  <tableColumns count="12">
    <tableColumn id="2" name="Newtonsoft" totalsRowFunction="custom">
      <totalsRowFormula>Table55[](Table53[Newtonsoft])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Table55[](Table53[Jil])</totalsRowFormula>
    </tableColumn>
    <tableColumn id="10" name="NetJSON"/>
    <tableColumn id="15" name="Jackson"/>
    <tableColumn id="6" name="DSL-JSON" totalsRowFunction="custom">
      <totalsRowFormula>Table55[](Table53[DSL-JSON])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id="52" name="Table52" displayName="Table52" ref="B51:M54">
  <autoFilter ref="B51:M54"/>
  <tableColumns count="12">
    <tableColumn id="2" name="Newtonsoft" totalsRowFunction="custom">
      <totalsRowFormula>Table55[](Table52[Newtonsoft])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Table55[](Table52[Jil])</totalsRowFormula>
    </tableColumn>
    <tableColumn id="10" name="NetJSON"/>
    <tableColumn id="15" name="Jackson"/>
    <tableColumn id="6" name="DSL-JSON" totalsRowFunction="custom">
      <totalsRowFormula>Table55[](Table52[DSL-JSON])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id="56" name="Table56" displayName="Table56" ref="B57:Y60">
  <autoFilter ref="B57:Y60"/>
  <tableColumns count="24">
    <tableColumn id="2" name="Newtonsoft" totalsRowFunction="custom">
      <totalsRowFormula>Table60[](Table56[Newtonsoft])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Table60[](Table56[Jil])</totalsRowFormula>
    </tableColumn>
    <tableColumn id="9" name="NetJSON"/>
    <tableColumn id="8" name="Jackson"/>
    <tableColumn id="4" name="DSL-JSON" totalsRowFunction="custom">
      <totalsRowFormula>Table60[](Table56[DSL-JSON])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Table60[](Table56[Gson])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Table60[](Table56[Service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id="60" name="Table60" displayName="Table60" ref="B37:N42" totalsRowShown="0">
  <autoFilter ref="B37:N42"/>
  <tableColumns count="13">
    <tableColumn id="1" name="Average"/>
    <tableColumn id="2" name="Newtonsoft" dataDxfId="215">
      <calculatedColumnFormula>Table60[](Table56[Newtonsoft])</calculatedColumnFormula>
    </tableColumn>
    <tableColumn id="3" name="Revenj" dataDxfId="214"/>
    <tableColumn id="11" name="ProtoBuf (binary reference)" dataDxfId="213"/>
    <tableColumn id="4" name="Service Stack" dataDxfId="212"/>
    <tableColumn id="8" name="Jil" dataDxfId="211"/>
    <tableColumn id="7" name="NetJSON" dataDxfId="210"/>
    <tableColumn id="5" name="Jackson afterburner" dataDxfId="209"/>
    <tableColumn id="6" name="DSL-JSON" dataDxfId="208"/>
    <tableColumn id="9" name="Kryo (binary reference)" dataDxfId="207"/>
    <tableColumn id="13" name="Boon" dataDxfId="206"/>
    <tableColumn id="12" name="Alibaba" dataDxfId="205"/>
    <tableColumn id="10" name="Gson" dataDxfId="204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id="59" name="Table59" displayName="Table59" ref="B46:N48" totalsRowShown="0">
  <autoFilter ref="B46:N48"/>
  <tableColumns count="13">
    <tableColumn id="1" name="Deviation"/>
    <tableColumn id="2" name="Newtonsoft" dataDxfId="203">
      <calculatedColumnFormula>Table60[](Table56[Newtonsoft])</calculatedColumnFormula>
    </tableColumn>
    <tableColumn id="3" name="Revenj" dataDxfId="202"/>
    <tableColumn id="11" name="Protobuf (binary reference)" dataDxfId="201"/>
    <tableColumn id="4" name="Service Stack" dataDxfId="200"/>
    <tableColumn id="5" name="Jil" dataDxfId="199">
      <calculatedColumnFormula>DEVSQ(Table56[Jil])</calculatedColumnFormula>
    </tableColumn>
    <tableColumn id="6" name="NetJSON" dataDxfId="198">
      <calculatedColumnFormula>DEVSQ(Table58[NetJSON])</calculatedColumnFormula>
    </tableColumn>
    <tableColumn id="7" name="Jackson afterburner" dataDxfId="197"/>
    <tableColumn id="8" name="DSL-JSON" dataDxfId="196"/>
    <tableColumn id="9" name="Kryo (binary reference)" dataDxfId="195"/>
    <tableColumn id="13" name="Boon" dataDxfId="194"/>
    <tableColumn id="12" name="Alibaba" dataDxfId="193"/>
    <tableColumn id="10" name="Gson" dataDxfId="192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id="58" name="Table58" displayName="Table58" ref="B63:M66">
  <autoFilter ref="B63:M66"/>
  <tableColumns count="12">
    <tableColumn id="2" name="Newtonsoft" totalsRowFunction="custom">
      <totalsRowFormula>Table60[](Table58[Newtonsoft])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Table60[](Table58[Jil])</totalsRowFormula>
    </tableColumn>
    <tableColumn id="10" name="NetJSON"/>
    <tableColumn id="15" name="Jackson"/>
    <tableColumn id="6" name="DSL-JSON" totalsRowFunction="custom">
      <totalsRowFormula>Table60[](Table58[DSL-JSON])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Instance" displayName="Instance" ref="B51:M54">
  <autoFilter ref="B51:M54"/>
  <tableColumns count="12">
    <tableColumn id="2" name="Newtonsoft" totalsRowFunction="custom">
      <totalsRowFormula>AverageNumbers[](Instance[Newtonsoft])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AverageNumbers[](Instance[Jil])</totalsRowFormula>
    </tableColumn>
    <tableColumn id="10" name="NetJSON"/>
    <tableColumn id="15" name="Jackson"/>
    <tableColumn id="6" name="DSL-JSON" totalsRowFunction="custom">
      <totalsRowFormula>AverageNumbers[](Instance[DSL-JSON])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57" name="Table57" displayName="Table57" ref="B51:M54">
  <autoFilter ref="B51:M54"/>
  <tableColumns count="12">
    <tableColumn id="2" name="Newtonsoft" totalsRowFunction="custom">
      <totalsRowFormula>Table60[](Table57[Newtonsoft])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Table60[](Table57[Jil])</totalsRowFormula>
    </tableColumn>
    <tableColumn id="10" name="NetJSON"/>
    <tableColumn id="15" name="Jackson"/>
    <tableColumn id="6" name="DSL-JSON" totalsRowFunction="custom">
      <totalsRowFormula>Table60[](Table57[DSL-JSON])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id="61" name="Table61" displayName="Table61" ref="B57:Y60">
  <autoFilter ref="B57:Y60"/>
  <tableColumns count="24">
    <tableColumn id="2" name="Newtonsoft" totalsRowFunction="custom">
      <totalsRowFormula>Table65[](Table61[Newtonsoft])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Table65[](Table61[Jil])</totalsRowFormula>
    </tableColumn>
    <tableColumn id="9" name="NetJSON"/>
    <tableColumn id="8" name="Jackson"/>
    <tableColumn id="4" name="DSL-JSON" totalsRowFunction="custom">
      <totalsRowFormula>Table65[](Table61[DSL-JSON])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Table65[](Table61[Gson])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Table65[](Table61[Service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id="65" name="Table65" displayName="Table65" ref="B37:N42" totalsRowShown="0">
  <autoFilter ref="B37:N42"/>
  <tableColumns count="13">
    <tableColumn id="1" name="Average"/>
    <tableColumn id="2" name="Newtonsoft" dataDxfId="191">
      <calculatedColumnFormula>Table65[](Table61[Newtonsoft])</calculatedColumnFormula>
    </tableColumn>
    <tableColumn id="3" name="Revenj" dataDxfId="190"/>
    <tableColumn id="11" name="ProtoBuf (binary reference)" dataDxfId="189"/>
    <tableColumn id="4" name="Service Stack" dataDxfId="188"/>
    <tableColumn id="8" name="Jil" dataDxfId="187"/>
    <tableColumn id="7" name="NetJSON" dataDxfId="186"/>
    <tableColumn id="5" name="Jackson afterburner" dataDxfId="185"/>
    <tableColumn id="6" name="DSL-JSON" dataDxfId="184"/>
    <tableColumn id="9" name="Kryo (binary reference)" dataDxfId="183"/>
    <tableColumn id="13" name="Boon" dataDxfId="182"/>
    <tableColumn id="12" name="Alibaba" dataDxfId="181"/>
    <tableColumn id="10" name="Gson" dataDxfId="180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id="64" name="Table64" displayName="Table64" ref="B46:N48" totalsRowShown="0">
  <autoFilter ref="B46:N48"/>
  <tableColumns count="13">
    <tableColumn id="1" name="Deviation"/>
    <tableColumn id="2" name="Newtonsoft" dataDxfId="179">
      <calculatedColumnFormula>Table65[](Table61[Newtonsoft])</calculatedColumnFormula>
    </tableColumn>
    <tableColumn id="3" name="Revenj" dataDxfId="178"/>
    <tableColumn id="11" name="Protobuf (binary reference)" dataDxfId="177"/>
    <tableColumn id="4" name="Service Stack" dataDxfId="176"/>
    <tableColumn id="5" name="Jil" dataDxfId="175">
      <calculatedColumnFormula>DEVSQ(Table61[Jil])</calculatedColumnFormula>
    </tableColumn>
    <tableColumn id="6" name="NetJSON" dataDxfId="174">
      <calculatedColumnFormula>DEVSQ(Table63[NetJSON])</calculatedColumnFormula>
    </tableColumn>
    <tableColumn id="7" name="Jackson afterburner" dataDxfId="173"/>
    <tableColumn id="8" name="DSL-JSON" dataDxfId="172"/>
    <tableColumn id="9" name="Kryo (binary reference)" dataDxfId="171"/>
    <tableColumn id="13" name="Boon" dataDxfId="170"/>
    <tableColumn id="12" name="Alibaba" dataDxfId="169"/>
    <tableColumn id="10" name="Gson" dataDxfId="168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id="63" name="Table63" displayName="Table63" ref="B63:M66">
  <autoFilter ref="B63:M66"/>
  <tableColumns count="12">
    <tableColumn id="2" name="Newtonsoft" totalsRowFunction="custom">
      <totalsRowFormula>Table65[](Table63[Newtonsoft])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Table65[](Table63[Jil])</totalsRowFormula>
    </tableColumn>
    <tableColumn id="10" name="NetJSON"/>
    <tableColumn id="15" name="Jackson"/>
    <tableColumn id="6" name="DSL-JSON" totalsRowFunction="custom">
      <totalsRowFormula>Table65[](Table63[DSL-JSON])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id="62" name="Table62" displayName="Table62" ref="B51:M54">
  <autoFilter ref="B51:M54"/>
  <tableColumns count="12">
    <tableColumn id="2" name="Newtonsoft" totalsRowFunction="custom">
      <totalsRowFormula>Table65[](Table62[Newtonsoft])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Table65[](Table62[Jil])</totalsRowFormula>
    </tableColumn>
    <tableColumn id="10" name="NetJSON"/>
    <tableColumn id="15" name="Jackson"/>
    <tableColumn id="6" name="DSL-JSON" totalsRowFunction="custom">
      <totalsRowFormula>Table65[](Table62[DSL-JSON])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id="66" name="Table66" displayName="Table66" ref="B57:Y60">
  <autoFilter ref="B57:Y60"/>
  <tableColumns count="24">
    <tableColumn id="2" name="Newtonsoft" totalsRowFunction="custom">
      <totalsRowFormula>Table70[](Table66[Newtonsoft])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Table70[](Table66[Jil])</totalsRowFormula>
    </tableColumn>
    <tableColumn id="9" name="NetJSON"/>
    <tableColumn id="8" name="Jackson"/>
    <tableColumn id="4" name="DSL-JSON" totalsRowFunction="custom">
      <totalsRowFormula>Table70[](Table66[DSL-JSON])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Table70[](Table66[Gson])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Table70[](Table66[Service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id="70" name="Table70" displayName="Table70" ref="B37:N42" totalsRowShown="0">
  <autoFilter ref="B37:N42"/>
  <tableColumns count="13">
    <tableColumn id="1" name="Average"/>
    <tableColumn id="2" name="Newtonsoft" dataDxfId="167">
      <calculatedColumnFormula>Table70[](Table66[Newtonsoft])</calculatedColumnFormula>
    </tableColumn>
    <tableColumn id="3" name="Revenj" dataDxfId="166"/>
    <tableColumn id="11" name="ProtoBuf (binary reference)" dataDxfId="165"/>
    <tableColumn id="4" name="Service Stack" dataDxfId="164"/>
    <tableColumn id="8" name="Jil" dataDxfId="163"/>
    <tableColumn id="7" name="NetJSON" dataDxfId="162"/>
    <tableColumn id="5" name="Jackson afterburner" dataDxfId="161"/>
    <tableColumn id="6" name="DSL-JSON" dataDxfId="160"/>
    <tableColumn id="9" name="Kryo (binary reference)" dataDxfId="159"/>
    <tableColumn id="13" name="Boon" dataDxfId="158"/>
    <tableColumn id="12" name="Alibaba" dataDxfId="157"/>
    <tableColumn id="10" name="Gson" dataDxfId="156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id="69" name="Table69" displayName="Table69" ref="B46:N48" totalsRowShown="0">
  <autoFilter ref="B46:N48"/>
  <tableColumns count="13">
    <tableColumn id="1" name="Deviation"/>
    <tableColumn id="2" name="Newtonsoft" dataDxfId="155">
      <calculatedColumnFormula>Table70[](Table66[Newtonsoft])</calculatedColumnFormula>
    </tableColumn>
    <tableColumn id="3" name="Revenj" dataDxfId="154"/>
    <tableColumn id="11" name="Protobuf (binary reference)" dataDxfId="153"/>
    <tableColumn id="4" name="Service Stack" dataDxfId="152"/>
    <tableColumn id="5" name="Jil" dataDxfId="151">
      <calculatedColumnFormula>DEVSQ(Table66[Jil])</calculatedColumnFormula>
    </tableColumn>
    <tableColumn id="6" name="NetJSON" dataDxfId="150">
      <calculatedColumnFormula>DEVSQ(Table68[NetJSON])</calculatedColumnFormula>
    </tableColumn>
    <tableColumn id="7" name="Jackson afterburner" dataDxfId="149"/>
    <tableColumn id="8" name="DSL-JSON" dataDxfId="148"/>
    <tableColumn id="9" name="Kryo (binary reference)" dataDxfId="147"/>
    <tableColumn id="13" name="Boon" dataDxfId="146"/>
    <tableColumn id="12" name="Alibaba" dataDxfId="145"/>
    <tableColumn id="10" name="Gson" dataDxfId="144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id="68" name="Table68" displayName="Table68" ref="B63:M66">
  <autoFilter ref="B63:M66"/>
  <tableColumns count="12">
    <tableColumn id="2" name="Newtonsoft" totalsRowFunction="custom">
      <totalsRowFormula>Table70[](Table68[Newtonsoft])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Table70[](Table68[Jil])</totalsRowFormula>
    </tableColumn>
    <tableColumn id="10" name="NetJSON"/>
    <tableColumn id="15" name="Jackson"/>
    <tableColumn id="6" name="DSL-JSON" totalsRowFunction="custom">
      <totalsRowFormula>Table70[](Table68[DSL-JSON])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Table16" displayName="Table16" ref="B57:Y60">
  <autoFilter ref="B57:Y60"/>
  <tableColumns count="24">
    <tableColumn id="2" name="Newtonsoft" totalsRowFunction="custom">
      <totalsRowFormula>Table20[](Table16[Newtonsoft])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Table20[](Table16[Jil])</totalsRowFormula>
    </tableColumn>
    <tableColumn id="9" name="NetJSON"/>
    <tableColumn id="8" name="Jackson"/>
    <tableColumn id="4" name="DSL-JSON" totalsRowFunction="custom">
      <totalsRowFormula>Table20[](Table16[DSL-JSON])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Table20[](Table16[Gson])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Table20[](Table16[Service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id="67" name="Table67" displayName="Table67" ref="B51:M54">
  <autoFilter ref="B51:M54"/>
  <tableColumns count="12">
    <tableColumn id="2" name="Newtonsoft" totalsRowFunction="custom">
      <totalsRowFormula>Table70[](Table67[Newtonsoft])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Table70[](Table67[Jil])</totalsRowFormula>
    </tableColumn>
    <tableColumn id="10" name="NetJSON"/>
    <tableColumn id="15" name="Jackson"/>
    <tableColumn id="6" name="DSL-JSON" totalsRowFunction="custom">
      <totalsRowFormula>Table70[](Table67[DSL-JSON])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id="71" name="Table71" displayName="Table71" ref="B57:Y60">
  <autoFilter ref="B57:Y60"/>
  <tableColumns count="24">
    <tableColumn id="2" name="Newtonsoft" totalsRowFunction="custom">
      <totalsRowFormula>Table75[](Table71[Newtonsoft])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Table75[](Table71[Jil])</totalsRowFormula>
    </tableColumn>
    <tableColumn id="9" name="NetJSON"/>
    <tableColumn id="8" name="Jackson"/>
    <tableColumn id="4" name="DSL-JSON" totalsRowFunction="custom">
      <totalsRowFormula>Table75[](Table71[DSL-JSON])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Table75[](Table71[Gson])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Table75[](Table71[Service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id="75" name="Table75" displayName="Table75" ref="B37:N42" totalsRowShown="0">
  <autoFilter ref="B37:N42"/>
  <tableColumns count="13">
    <tableColumn id="1" name="Average"/>
    <tableColumn id="2" name="Newtonsoft" dataDxfId="143">
      <calculatedColumnFormula>Table75[](Table71[Newtonsoft])</calculatedColumnFormula>
    </tableColumn>
    <tableColumn id="3" name="Revenj" dataDxfId="142"/>
    <tableColumn id="11" name="ProtoBuf (binary reference)" dataDxfId="141"/>
    <tableColumn id="4" name="Service Stack" dataDxfId="140"/>
    <tableColumn id="8" name="Jil" dataDxfId="139"/>
    <tableColumn id="7" name="NetJSON" dataDxfId="138"/>
    <tableColumn id="5" name="Jackson afterburner" dataDxfId="137"/>
    <tableColumn id="6" name="DSL-JSON" dataDxfId="136"/>
    <tableColumn id="9" name="Kryo (binary reference)" dataDxfId="135"/>
    <tableColumn id="13" name="Boon" dataDxfId="134"/>
    <tableColumn id="12" name="Alibaba" dataDxfId="133"/>
    <tableColumn id="10" name="Gson" dataDxfId="132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id="74" name="Table74" displayName="Table74" ref="B46:N48" totalsRowShown="0">
  <autoFilter ref="B46:N48"/>
  <tableColumns count="13">
    <tableColumn id="1" name="Deviation"/>
    <tableColumn id="2" name="Newtonsoft" dataDxfId="131">
      <calculatedColumnFormula>Table75[](Table71[Newtonsoft])</calculatedColumnFormula>
    </tableColumn>
    <tableColumn id="3" name="Revenj" dataDxfId="130"/>
    <tableColumn id="11" name="Protobuf (binary reference)" dataDxfId="129"/>
    <tableColumn id="4" name="Service Stack" dataDxfId="128"/>
    <tableColumn id="5" name="Jil" dataDxfId="127">
      <calculatedColumnFormula>DEVSQ(Table71[Jil])</calculatedColumnFormula>
    </tableColumn>
    <tableColumn id="6" name="NetJSON" dataDxfId="126">
      <calculatedColumnFormula>DEVSQ(Table73[NetJSON])</calculatedColumnFormula>
    </tableColumn>
    <tableColumn id="7" name="Jackson afterburner" dataDxfId="125"/>
    <tableColumn id="8" name="DSL-JSON" dataDxfId="124"/>
    <tableColumn id="9" name="Kryo (binary reference)" dataDxfId="123"/>
    <tableColumn id="13" name="Boon" dataDxfId="122"/>
    <tableColumn id="12" name="Alibaba" dataDxfId="121"/>
    <tableColumn id="10" name="Gson" dataDxfId="120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id="73" name="Table73" displayName="Table73" ref="B63:M66">
  <autoFilter ref="B63:M66"/>
  <tableColumns count="12">
    <tableColumn id="2" name="Newtonsoft" totalsRowFunction="custom">
      <totalsRowFormula>Table75[](Table73[Newtonsoft])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Table75[](Table73[Jil])</totalsRowFormula>
    </tableColumn>
    <tableColumn id="10" name="NetJSON"/>
    <tableColumn id="15" name="Jackson"/>
    <tableColumn id="6" name="DSL-JSON" totalsRowFunction="custom">
      <totalsRowFormula>Table75[](Table73[DSL-JSON])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id="72" name="Table72" displayName="Table72" ref="B51:M54">
  <autoFilter ref="B51:M54"/>
  <tableColumns count="12">
    <tableColumn id="2" name="Newtonsoft" totalsRowFunction="custom">
      <totalsRowFormula>Table75[](Table72[Newtonsoft])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Table75[](Table72[Jil])</totalsRowFormula>
    </tableColumn>
    <tableColumn id="10" name="NetJSON"/>
    <tableColumn id="15" name="Jackson"/>
    <tableColumn id="6" name="DSL-JSON" totalsRowFunction="custom">
      <totalsRowFormula>Table75[](Table72[DSL-JSON])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id="76" name="Table76" displayName="Table76" ref="B57:Y60">
  <autoFilter ref="B57:Y60"/>
  <tableColumns count="24">
    <tableColumn id="2" name="Newtonsoft" totalsRowFunction="custom">
      <totalsRowFormula>Table80[](Table76[Newtonsoft])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Table80[](Table76[Jil])</totalsRowFormula>
    </tableColumn>
    <tableColumn id="9" name="NetJSON"/>
    <tableColumn id="8" name="Jackson"/>
    <tableColumn id="4" name="DSL-JSON" totalsRowFunction="custom">
      <totalsRowFormula>Table80[](Table76[DSL-JSON])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Table80[](Table76[Gson])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Table80[](Table76[Service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id="80" name="Table80" displayName="Table80" ref="B37:N42" totalsRowShown="0">
  <autoFilter ref="B37:N42"/>
  <tableColumns count="13">
    <tableColumn id="1" name="Average"/>
    <tableColumn id="2" name="Newtonsoft" dataDxfId="119">
      <calculatedColumnFormula>Table80[](Table76[Newtonsoft])</calculatedColumnFormula>
    </tableColumn>
    <tableColumn id="3" name="Revenj" dataDxfId="118"/>
    <tableColumn id="11" name="ProtoBuf (binary reference)" dataDxfId="117"/>
    <tableColumn id="4" name="Service Stack" dataDxfId="116"/>
    <tableColumn id="8" name="Jil" dataDxfId="115"/>
    <tableColumn id="7" name="NetJSON" dataDxfId="114"/>
    <tableColumn id="5" name="Jackson afterburner" dataDxfId="113"/>
    <tableColumn id="6" name="DSL-JSON" dataDxfId="112"/>
    <tableColumn id="9" name="Kryo (binary reference)" dataDxfId="111"/>
    <tableColumn id="13" name="Boon" dataDxfId="110"/>
    <tableColumn id="12" name="Alibaba" dataDxfId="109"/>
    <tableColumn id="10" name="Gson" dataDxfId="108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id="79" name="Table79" displayName="Table79" ref="B46:N48" totalsRowShown="0">
  <autoFilter ref="B46:N48"/>
  <tableColumns count="13">
    <tableColumn id="1" name="Deviation"/>
    <tableColumn id="2" name="Newtonsoft" dataDxfId="107">
      <calculatedColumnFormula>Table80[](Table76[Newtonsoft])</calculatedColumnFormula>
    </tableColumn>
    <tableColumn id="3" name="Revenj" dataDxfId="106"/>
    <tableColumn id="11" name="Protobuf (binary reference)" dataDxfId="105"/>
    <tableColumn id="4" name="Service Stack" dataDxfId="104"/>
    <tableColumn id="5" name="Jil" dataDxfId="103">
      <calculatedColumnFormula>DEVSQ(Table76[Jil])</calculatedColumnFormula>
    </tableColumn>
    <tableColumn id="6" name="NetJSON" dataDxfId="102">
      <calculatedColumnFormula>DEVSQ(Table78[NetJSON])</calculatedColumnFormula>
    </tableColumn>
    <tableColumn id="7" name="Jackson afterburner" dataDxfId="101"/>
    <tableColumn id="8" name="DSL-JSON" dataDxfId="100"/>
    <tableColumn id="9" name="Kryo (binary reference)" dataDxfId="99"/>
    <tableColumn id="13" name="Boon" dataDxfId="98"/>
    <tableColumn id="12" name="Alibaba" dataDxfId="97"/>
    <tableColumn id="10" name="Gson" dataDxfId="96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id="78" name="Table78" displayName="Table78" ref="B63:M66">
  <autoFilter ref="B63:M66"/>
  <tableColumns count="12">
    <tableColumn id="2" name="Newtonsoft" totalsRowFunction="custom">
      <totalsRowFormula>Table80[](Table78[Newtonsoft])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Table80[](Table78[Jil])</totalsRowFormula>
    </tableColumn>
    <tableColumn id="10" name="NetJSON"/>
    <tableColumn id="15" name="Jackson"/>
    <tableColumn id="6" name="DSL-JSON" totalsRowFunction="custom">
      <totalsRowFormula>Table80[](Table78[DSL-JSON])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0" name="Table20" displayName="Table20" ref="B37:N42" totalsRowShown="0">
  <autoFilter ref="B37:N42"/>
  <tableColumns count="13">
    <tableColumn id="1" name="Average"/>
    <tableColumn id="2" name="Newtonsoft" dataDxfId="407">
      <calculatedColumnFormula>Table20[](Table16[Newtonsoft])</calculatedColumnFormula>
    </tableColumn>
    <tableColumn id="3" name="Revenj" dataDxfId="406"/>
    <tableColumn id="11" name="ProtoBuf (binary reference)" dataDxfId="405"/>
    <tableColumn id="4" name="Service Stack" dataDxfId="404"/>
    <tableColumn id="8" name="Jil" dataDxfId="403"/>
    <tableColumn id="7" name="NetJSON" dataDxfId="402"/>
    <tableColumn id="5" name="Jackson afterburner" dataDxfId="401"/>
    <tableColumn id="6" name="DSL-JSON" dataDxfId="400"/>
    <tableColumn id="9" name="Kryo (binary reference)" dataDxfId="399"/>
    <tableColumn id="13" name="Boon" dataDxfId="398"/>
    <tableColumn id="12" name="Alibaba" dataDxfId="397"/>
    <tableColumn id="10" name="Gson" dataDxfId="396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id="77" name="Table77" displayName="Table77" ref="B51:M54">
  <autoFilter ref="B51:M54"/>
  <tableColumns count="12">
    <tableColumn id="2" name="Newtonsoft" totalsRowFunction="custom">
      <totalsRowFormula>Table80[](Table77[Newtonsoft])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Table80[](Table77[Jil])</totalsRowFormula>
    </tableColumn>
    <tableColumn id="10" name="NetJSON"/>
    <tableColumn id="15" name="Jackson"/>
    <tableColumn id="6" name="DSL-JSON" totalsRowFunction="custom">
      <totalsRowFormula>Table80[](Table77[DSL-JSON])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id="81" name="Table81" displayName="Table81" ref="B57:Y60">
  <autoFilter ref="B57:Y60"/>
  <tableColumns count="24">
    <tableColumn id="2" name="Newtonsoft" totalsRowFunction="custom">
      <totalsRowFormula>Table85[](Table81[Newtonsoft])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Table85[](Table81[Jil])</totalsRowFormula>
    </tableColumn>
    <tableColumn id="9" name="NetJSON"/>
    <tableColumn id="8" name="Jackson"/>
    <tableColumn id="4" name="DSL-JSON" totalsRowFunction="custom">
      <totalsRowFormula>Table85[](Table81[DSL-JSON])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Table85[](Table81[Gson])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Table85[](Table81[Service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id="85" name="Table85" displayName="Table85" ref="B37:N42" totalsRowShown="0">
  <autoFilter ref="B37:N42"/>
  <tableColumns count="13">
    <tableColumn id="1" name="Average"/>
    <tableColumn id="2" name="Newtonsoft" dataDxfId="95">
      <calculatedColumnFormula>Table85[](Table81[Newtonsoft])</calculatedColumnFormula>
    </tableColumn>
    <tableColumn id="3" name="Revenj" dataDxfId="94"/>
    <tableColumn id="11" name="ProtoBuf (binary reference)" dataDxfId="93"/>
    <tableColumn id="4" name="Service Stack" dataDxfId="92"/>
    <tableColumn id="8" name="Jil" dataDxfId="91"/>
    <tableColumn id="7" name="NetJSON" dataDxfId="90"/>
    <tableColumn id="5" name="Jackson afterburner" dataDxfId="89"/>
    <tableColumn id="6" name="DSL-JSON" dataDxfId="88"/>
    <tableColumn id="9" name="Kryo (binary reference)" dataDxfId="87"/>
    <tableColumn id="13" name="Boon" dataDxfId="86"/>
    <tableColumn id="12" name="Alibaba" dataDxfId="85"/>
    <tableColumn id="10" name="Gson" dataDxfId="84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id="84" name="Table84" displayName="Table84" ref="B46:N48" totalsRowShown="0">
  <autoFilter ref="B46:N48"/>
  <tableColumns count="13">
    <tableColumn id="1" name="Deviation"/>
    <tableColumn id="2" name="Newtonsoft" dataDxfId="83">
      <calculatedColumnFormula>Table85[](Table81[Newtonsoft])</calculatedColumnFormula>
    </tableColumn>
    <tableColumn id="3" name="Revenj" dataDxfId="82"/>
    <tableColumn id="11" name="Protobuf (binary reference)" dataDxfId="81"/>
    <tableColumn id="4" name="Service Stack" dataDxfId="80"/>
    <tableColumn id="5" name="Jil" dataDxfId="79">
      <calculatedColumnFormula>DEVSQ(Table81[Jil])</calculatedColumnFormula>
    </tableColumn>
    <tableColumn id="6" name="NetJSON" dataDxfId="78">
      <calculatedColumnFormula>DEVSQ(Table83[NetJSON])</calculatedColumnFormula>
    </tableColumn>
    <tableColumn id="7" name="Jackson afterburner" dataDxfId="77"/>
    <tableColumn id="8" name="DSL-JSON" dataDxfId="76"/>
    <tableColumn id="9" name="Kryo (binary reference)" dataDxfId="75"/>
    <tableColumn id="13" name="Boon" dataDxfId="74"/>
    <tableColumn id="12" name="Alibaba" dataDxfId="73"/>
    <tableColumn id="10" name="Gson" dataDxfId="72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id="83" name="Table83" displayName="Table83" ref="B63:M66">
  <autoFilter ref="B63:M66"/>
  <tableColumns count="12">
    <tableColumn id="2" name="Newtonsoft" totalsRowFunction="custom">
      <totalsRowFormula>Table85[](Table83[Newtonsoft])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Table85[](Table83[Jil])</totalsRowFormula>
    </tableColumn>
    <tableColumn id="10" name="NetJSON"/>
    <tableColumn id="15" name="Jackson"/>
    <tableColumn id="6" name="DSL-JSON" totalsRowFunction="custom">
      <totalsRowFormula>Table85[](Table83[DSL-JSON])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id="82" name="Table82" displayName="Table82" ref="B51:M54">
  <autoFilter ref="B51:M54"/>
  <tableColumns count="12">
    <tableColumn id="2" name="Newtonsoft" totalsRowFunction="custom">
      <totalsRowFormula>Table85[](Table82[Newtonsoft])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Table85[](Table82[Jil])</totalsRowFormula>
    </tableColumn>
    <tableColumn id="10" name="NetJSON"/>
    <tableColumn id="15" name="Jackson"/>
    <tableColumn id="6" name="DSL-JSON" totalsRowFunction="custom">
      <totalsRowFormula>Table85[](Table82[DSL-JSON])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id="86" name="Table86" displayName="Table86" ref="B57:Y60">
  <autoFilter ref="B57:Y60"/>
  <tableColumns count="24">
    <tableColumn id="2" name="Newtonsoft" totalsRowFunction="custom">
      <totalsRowFormula>Table90[](Table86[Newtonsoft])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Table90[](Table86[Jil])</totalsRowFormula>
    </tableColumn>
    <tableColumn id="9" name="NetJSON"/>
    <tableColumn id="8" name="Jackson"/>
    <tableColumn id="4" name="DSL-JSON" totalsRowFunction="custom">
      <totalsRowFormula>Table90[](Table86[DSL-JSON])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Table90[](Table86[Gson])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Table90[](Table86[Service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id="90" name="Table90" displayName="Table90" ref="B37:N42" totalsRowShown="0">
  <autoFilter ref="B37:N42"/>
  <tableColumns count="13">
    <tableColumn id="1" name="Average"/>
    <tableColumn id="2" name="Newtonsoft" dataDxfId="71">
      <calculatedColumnFormula>Table90[](Table86[Newtonsoft])</calculatedColumnFormula>
    </tableColumn>
    <tableColumn id="3" name="Revenj" dataDxfId="70"/>
    <tableColumn id="11" name="ProtoBuf (binary reference)" dataDxfId="69"/>
    <tableColumn id="4" name="Service Stack" dataDxfId="68"/>
    <tableColumn id="8" name="Jil" dataDxfId="67"/>
    <tableColumn id="7" name="NetJSON" dataDxfId="66"/>
    <tableColumn id="5" name="Jackson afterburner" dataDxfId="65"/>
    <tableColumn id="6" name="DSL-JSON" dataDxfId="64"/>
    <tableColumn id="9" name="Kryo (binary reference)" dataDxfId="63"/>
    <tableColumn id="13" name="Boon" dataDxfId="62"/>
    <tableColumn id="12" name="Alibaba" dataDxfId="61"/>
    <tableColumn id="10" name="Gson" dataDxfId="60"/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id="89" name="Table89" displayName="Table89" ref="B46:N48" totalsRowShown="0">
  <autoFilter ref="B46:N48"/>
  <tableColumns count="13">
    <tableColumn id="1" name="Deviation"/>
    <tableColumn id="2" name="Newtonsoft" dataDxfId="59">
      <calculatedColumnFormula>Table90[](Table86[Newtonsoft])</calculatedColumnFormula>
    </tableColumn>
    <tableColumn id="3" name="Revenj" dataDxfId="58"/>
    <tableColumn id="11" name="Protobuf (binary reference)" dataDxfId="57"/>
    <tableColumn id="4" name="Service Stack" dataDxfId="56"/>
    <tableColumn id="5" name="Jil" dataDxfId="55">
      <calculatedColumnFormula>DEVSQ(Table86[Jil])</calculatedColumnFormula>
    </tableColumn>
    <tableColumn id="6" name="NetJSON" dataDxfId="54">
      <calculatedColumnFormula>DEVSQ(Table88[NetJSON])</calculatedColumnFormula>
    </tableColumn>
    <tableColumn id="7" name="Jackson afterburner" dataDxfId="53"/>
    <tableColumn id="8" name="DSL-JSON" dataDxfId="52"/>
    <tableColumn id="9" name="Kryo (binary reference)" dataDxfId="51"/>
    <tableColumn id="13" name="Boon" dataDxfId="50"/>
    <tableColumn id="12" name="Alibaba" dataDxfId="49"/>
    <tableColumn id="10" name="Gson" dataDxfId="48"/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id="88" name="Table88" displayName="Table88" ref="B63:M66">
  <autoFilter ref="B63:M66"/>
  <tableColumns count="12">
    <tableColumn id="2" name="Newtonsoft" totalsRowFunction="custom">
      <totalsRowFormula>Table90[](Table88[Newtonsoft])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Table90[](Table88[Jil])</totalsRowFormula>
    </tableColumn>
    <tableColumn id="10" name="NetJSON"/>
    <tableColumn id="15" name="Jackson"/>
    <tableColumn id="6" name="DSL-JSON" totalsRowFunction="custom">
      <totalsRowFormula>Table90[](Table88[DSL-JSON])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9" name="Table19" displayName="Table19" ref="B46:N48" totalsRowShown="0">
  <autoFilter ref="B46:N48"/>
  <tableColumns count="13">
    <tableColumn id="1" name="Deviation"/>
    <tableColumn id="2" name="Newtonsoft" dataDxfId="395">
      <calculatedColumnFormula>Table20[](Table16[Newtonsoft])</calculatedColumnFormula>
    </tableColumn>
    <tableColumn id="3" name="Revenj" dataDxfId="394"/>
    <tableColumn id="11" name="Protobuf (binary reference)" dataDxfId="393"/>
    <tableColumn id="4" name="Service Stack" dataDxfId="392"/>
    <tableColumn id="5" name="Jil" dataDxfId="391">
      <calculatedColumnFormula>DEVSQ(Table16[Jil])</calculatedColumnFormula>
    </tableColumn>
    <tableColumn id="6" name="NetJSON" dataDxfId="390">
      <calculatedColumnFormula>DEVSQ(Table18[NetJSON])</calculatedColumnFormula>
    </tableColumn>
    <tableColumn id="7" name="Jackson afterburner" dataDxfId="389"/>
    <tableColumn id="8" name="DSL-JSON" dataDxfId="388"/>
    <tableColumn id="9" name="Kryo (binary reference)" dataDxfId="387"/>
    <tableColumn id="13" name="Boon" dataDxfId="386"/>
    <tableColumn id="12" name="Alibaba" dataDxfId="385"/>
    <tableColumn id="10" name="Gson" dataDxfId="384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id="87" name="Table87" displayName="Table87" ref="B51:M54">
  <autoFilter ref="B51:M54"/>
  <tableColumns count="12">
    <tableColumn id="2" name="Newtonsoft" totalsRowFunction="custom">
      <totalsRowFormula>Table90[](Table87[Newtonsoft])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Table90[](Table87[Jil])</totalsRowFormula>
    </tableColumn>
    <tableColumn id="10" name="NetJSON"/>
    <tableColumn id="15" name="Jackson"/>
    <tableColumn id="6" name="DSL-JSON" totalsRowFunction="custom">
      <totalsRowFormula>Table90[](Table87[DSL-JSON])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id="91" name="Table91" displayName="Table91" ref="B57:Y60">
  <autoFilter ref="B57:Y60"/>
  <tableColumns count="24">
    <tableColumn id="2" name="Newtonsoft" totalsRowFunction="custom">
      <totalsRowFormula>Table95[](Table91[Newtonsoft])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Table95[](Table91[Jil])</totalsRowFormula>
    </tableColumn>
    <tableColumn id="9" name="NetJSON"/>
    <tableColumn id="8" name="Jackson"/>
    <tableColumn id="4" name="DSL-JSON" totalsRowFunction="custom">
      <totalsRowFormula>Table95[](Table91[DSL-JSON])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Table95[](Table91[Gson])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Table95[](Table91[Service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id="95" name="Table95" displayName="Table95" ref="B37:N42" totalsRowShown="0">
  <autoFilter ref="B37:N42"/>
  <tableColumns count="13">
    <tableColumn id="1" name="Average"/>
    <tableColumn id="2" name="Newtonsoft" dataDxfId="47">
      <calculatedColumnFormula>Table95[](Table91[Newtonsoft])</calculatedColumnFormula>
    </tableColumn>
    <tableColumn id="3" name="Revenj" dataDxfId="46"/>
    <tableColumn id="11" name="ProtoBuf (binary reference)" dataDxfId="45"/>
    <tableColumn id="4" name="Service Stack" dataDxfId="44"/>
    <tableColumn id="8" name="Jil" dataDxfId="43"/>
    <tableColumn id="7" name="NetJSON" dataDxfId="42"/>
    <tableColumn id="5" name="Jackson afterburner" dataDxfId="41"/>
    <tableColumn id="6" name="DSL-JSON" dataDxfId="40"/>
    <tableColumn id="9" name="Kryo (binary reference)" dataDxfId="39"/>
    <tableColumn id="13" name="Boon" dataDxfId="38"/>
    <tableColumn id="12" name="Alibaba" dataDxfId="37"/>
    <tableColumn id="10" name="Gson" dataDxfId="36"/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id="94" name="Table94" displayName="Table94" ref="B46:N48" totalsRowShown="0">
  <autoFilter ref="B46:N48"/>
  <tableColumns count="13">
    <tableColumn id="1" name="Deviation"/>
    <tableColumn id="2" name="Newtonsoft " dataDxfId="35">
      <calculatedColumnFormula>Table95[](Table91[Newtonsoft])</calculatedColumnFormula>
    </tableColumn>
    <tableColumn id="3" name="Revenj" dataDxfId="34"/>
    <tableColumn id="11" name="Protobuf (binary reference)" dataDxfId="33"/>
    <tableColumn id="4" name="Service Stack" dataDxfId="32"/>
    <tableColumn id="5" name="Jil" dataDxfId="31">
      <calculatedColumnFormula>DEVSQ(Table91[Jil])</calculatedColumnFormula>
    </tableColumn>
    <tableColumn id="6" name="NetJSON" dataDxfId="30">
      <calculatedColumnFormula>DEVSQ(Table93[NetJSON])</calculatedColumnFormula>
    </tableColumn>
    <tableColumn id="7" name="Jackson afterburner" dataDxfId="29"/>
    <tableColumn id="8" name="DSL-JSON" dataDxfId="28"/>
    <tableColumn id="9" name="Kryo (binary reference)" dataDxfId="27"/>
    <tableColumn id="13" name="Boon" dataDxfId="26"/>
    <tableColumn id="12" name="Alibaba" dataDxfId="25"/>
    <tableColumn id="10" name="Gson" dataDxfId="24"/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id="93" name="Table93" displayName="Table93" ref="B63:M66">
  <autoFilter ref="B63:M66"/>
  <tableColumns count="12">
    <tableColumn id="2" name="Newtonsoft" totalsRowFunction="custom">
      <totalsRowFormula>Table95[](Table93[Newtonsoft])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Table95[](Table93[Jil])</totalsRowFormula>
    </tableColumn>
    <tableColumn id="10" name="NetJSON"/>
    <tableColumn id="15" name="Jackson"/>
    <tableColumn id="6" name="DSL-JSON" totalsRowFunction="custom">
      <totalsRowFormula>Table95[](Table93[DSL-JSON])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id="92" name="Table92" displayName="Table92" ref="B51:M54">
  <autoFilter ref="B51:M54"/>
  <tableColumns count="12">
    <tableColumn id="2" name="Newtonsoft" totalsRowFunction="custom">
      <totalsRowFormula>Table95[](Table92[Newtonsoft])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Table95[](Table92[Jil])</totalsRowFormula>
    </tableColumn>
    <tableColumn id="10" name="NetJSON"/>
    <tableColumn id="15" name="Jackson"/>
    <tableColumn id="6" name="DSL-JSON" totalsRowFunction="custom">
      <totalsRowFormula>Table95[](Table92[DSL-JSON])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id="96" name="Table96" displayName="Table96" ref="B57:Y60">
  <autoFilter ref="B57:Y60"/>
  <tableColumns count="24">
    <tableColumn id="2" name="Newtonsoft" totalsRowFunction="custom">
      <totalsRowFormula>Table100[](Table96[Newtonsoft])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Table100[](Table96[Jil])</totalsRowFormula>
    </tableColumn>
    <tableColumn id="9" name="NetJSON"/>
    <tableColumn id="8" name="Jackson"/>
    <tableColumn id="4" name="DSL-JSON" totalsRowFunction="custom">
      <totalsRowFormula>Table100[](Table96[DSL-JSON])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Table100[](Table96[Gson])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Table100[](Table96[Service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id="100" name="Table100" displayName="Table100" ref="B37:N42" totalsRowShown="0">
  <autoFilter ref="B37:N42"/>
  <tableColumns count="13">
    <tableColumn id="1" name="Average"/>
    <tableColumn id="2" name="Newtonsoft" dataDxfId="23">
      <calculatedColumnFormula>Table100[](Table96[Newtonsoft])</calculatedColumnFormula>
    </tableColumn>
    <tableColumn id="3" name="Revenj" dataDxfId="22"/>
    <tableColumn id="11" name="ProtoBuf (binary reference)" dataDxfId="21"/>
    <tableColumn id="4" name="Service Stack" dataDxfId="20"/>
    <tableColumn id="8" name="Jil" dataDxfId="19"/>
    <tableColumn id="7" name="NetJSON" dataDxfId="18"/>
    <tableColumn id="5" name="Jackson afterburner" dataDxfId="17"/>
    <tableColumn id="6" name="DSL-JSON" dataDxfId="16"/>
    <tableColumn id="9" name="Kryo (binary reference)" dataDxfId="15"/>
    <tableColumn id="13" name="Boon" dataDxfId="14"/>
    <tableColumn id="12" name="Alibaba" dataDxfId="13"/>
    <tableColumn id="10" name="Gson" dataDxfId="12"/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id="99" name="Table99" displayName="Table99" ref="B46:N48" totalsRowShown="0">
  <autoFilter ref="B46:N48"/>
  <tableColumns count="13">
    <tableColumn id="1" name="Deviation"/>
    <tableColumn id="2" name="Newtonsoft" dataDxfId="11">
      <calculatedColumnFormula>Table100[](Table96[Newtonsoft])</calculatedColumnFormula>
    </tableColumn>
    <tableColumn id="3" name="Revenj" dataDxfId="10"/>
    <tableColumn id="11" name="Protobuf (binary reference)" dataDxfId="9"/>
    <tableColumn id="4" name="Service Stack" dataDxfId="8"/>
    <tableColumn id="5" name="Jil" dataDxfId="7">
      <calculatedColumnFormula>DEVSQ(Table96[Jil])</calculatedColumnFormula>
    </tableColumn>
    <tableColumn id="6" name="NetJSON" dataDxfId="6">
      <calculatedColumnFormula>DEVSQ(Table98[NetJSON])</calculatedColumnFormula>
    </tableColumn>
    <tableColumn id="7" name="Jackson afterburner" dataDxfId="5"/>
    <tableColumn id="8" name="DSL-JSON" dataDxfId="4"/>
    <tableColumn id="9" name="Kryo (binary reference)" dataDxfId="3"/>
    <tableColumn id="13" name="Boon" dataDxfId="2"/>
    <tableColumn id="12" name="Alibaba" dataDxfId="1"/>
    <tableColumn id="10" name="Gson" dataDxfId="0"/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id="98" name="Table98" displayName="Table98" ref="B63:M66">
  <autoFilter ref="B63:M66"/>
  <tableColumns count="12">
    <tableColumn id="2" name="Newtonsoft" totalsRowFunction="custom">
      <totalsRowFormula>Table100[](Table98[Newtonsoft])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Table100[](Table98[Jil])</totalsRowFormula>
    </tableColumn>
    <tableColumn id="10" name="NetJSON"/>
    <tableColumn id="15" name="Jackson"/>
    <tableColumn id="6" name="DSL-JSON" totalsRowFunction="custom">
      <totalsRowFormula>Table100[](Table98[DSL-JSON])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8" name="Table18" displayName="Table18" ref="B63:M66">
  <autoFilter ref="B63:M66"/>
  <tableColumns count="12">
    <tableColumn id="2" name="Newtonsoft" totalsRowFunction="custom">
      <totalsRowFormula>Table20[](Table18[Newtonsoft])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Table20[](Table18[Jil])</totalsRowFormula>
    </tableColumn>
    <tableColumn id="10" name="NetJSON"/>
    <tableColumn id="15" name="Jackson"/>
    <tableColumn id="6" name="DSL-JSON" totalsRowFunction="custom">
      <totalsRowFormula>Table20[](Table18[DSL-JSON])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id="97" name="Table97" displayName="Table97" ref="B51:M54">
  <autoFilter ref="B51:M54"/>
  <tableColumns count="12">
    <tableColumn id="2" name="Newtonsoft" totalsRowFunction="custom">
      <totalsRowFormula>Table100[](Table97[Newtonsoft])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Table100[](Table97[Jil])</totalsRowFormula>
    </tableColumn>
    <tableColumn id="10" name="NetJSON"/>
    <tableColumn id="15" name="Jackson"/>
    <tableColumn id="6" name="DSL-JSON" totalsRowFunction="custom">
      <totalsRowFormula>Table100[](Table97[DSL-JSON])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0.xml"/><Relationship Id="rId3" Type="http://schemas.openxmlformats.org/officeDocument/2006/relationships/vmlDrawing" Target="../drawings/vmlDrawing3.vml"/><Relationship Id="rId7" Type="http://schemas.openxmlformats.org/officeDocument/2006/relationships/table" Target="../tables/table49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48.xml"/><Relationship Id="rId5" Type="http://schemas.openxmlformats.org/officeDocument/2006/relationships/table" Target="../tables/table47.xml"/><Relationship Id="rId4" Type="http://schemas.openxmlformats.org/officeDocument/2006/relationships/table" Target="../tables/table46.xml"/><Relationship Id="rId9" Type="http://schemas.openxmlformats.org/officeDocument/2006/relationships/comments" Target="../comments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1.xml"/><Relationship Id="rId7" Type="http://schemas.openxmlformats.org/officeDocument/2006/relationships/table" Target="../tables/table55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table" Target="../tables/table54.xml"/><Relationship Id="rId5" Type="http://schemas.openxmlformats.org/officeDocument/2006/relationships/table" Target="../tables/table53.xml"/><Relationship Id="rId4" Type="http://schemas.openxmlformats.org/officeDocument/2006/relationships/table" Target="../tables/table5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6.xml"/><Relationship Id="rId7" Type="http://schemas.openxmlformats.org/officeDocument/2006/relationships/table" Target="../tables/table60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table" Target="../tables/table59.xml"/><Relationship Id="rId5" Type="http://schemas.openxmlformats.org/officeDocument/2006/relationships/table" Target="../tables/table58.xml"/><Relationship Id="rId4" Type="http://schemas.openxmlformats.org/officeDocument/2006/relationships/table" Target="../tables/table5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1.xml"/><Relationship Id="rId7" Type="http://schemas.openxmlformats.org/officeDocument/2006/relationships/table" Target="../tables/table65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table" Target="../tables/table64.xml"/><Relationship Id="rId5" Type="http://schemas.openxmlformats.org/officeDocument/2006/relationships/table" Target="../tables/table63.xml"/><Relationship Id="rId4" Type="http://schemas.openxmlformats.org/officeDocument/2006/relationships/table" Target="../tables/table6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6.xml"/><Relationship Id="rId7" Type="http://schemas.openxmlformats.org/officeDocument/2006/relationships/table" Target="../tables/table70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table" Target="../tables/table69.xml"/><Relationship Id="rId5" Type="http://schemas.openxmlformats.org/officeDocument/2006/relationships/table" Target="../tables/table68.xml"/><Relationship Id="rId4" Type="http://schemas.openxmlformats.org/officeDocument/2006/relationships/table" Target="../tables/table6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1.xml"/><Relationship Id="rId7" Type="http://schemas.openxmlformats.org/officeDocument/2006/relationships/table" Target="../tables/table75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table" Target="../tables/table74.xml"/><Relationship Id="rId5" Type="http://schemas.openxmlformats.org/officeDocument/2006/relationships/table" Target="../tables/table73.xml"/><Relationship Id="rId4" Type="http://schemas.openxmlformats.org/officeDocument/2006/relationships/table" Target="../tables/table7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6.xml"/><Relationship Id="rId7" Type="http://schemas.openxmlformats.org/officeDocument/2006/relationships/table" Target="../tables/table80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table" Target="../tables/table79.xml"/><Relationship Id="rId5" Type="http://schemas.openxmlformats.org/officeDocument/2006/relationships/table" Target="../tables/table78.xml"/><Relationship Id="rId4" Type="http://schemas.openxmlformats.org/officeDocument/2006/relationships/table" Target="../tables/table77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1.xml"/><Relationship Id="rId7" Type="http://schemas.openxmlformats.org/officeDocument/2006/relationships/table" Target="../tables/table85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table" Target="../tables/table84.xml"/><Relationship Id="rId5" Type="http://schemas.openxmlformats.org/officeDocument/2006/relationships/table" Target="../tables/table83.xml"/><Relationship Id="rId4" Type="http://schemas.openxmlformats.org/officeDocument/2006/relationships/table" Target="../tables/table82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6.xml"/><Relationship Id="rId7" Type="http://schemas.openxmlformats.org/officeDocument/2006/relationships/table" Target="../tables/table90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6" Type="http://schemas.openxmlformats.org/officeDocument/2006/relationships/table" Target="../tables/table89.xml"/><Relationship Id="rId5" Type="http://schemas.openxmlformats.org/officeDocument/2006/relationships/table" Target="../tables/table88.xml"/><Relationship Id="rId4" Type="http://schemas.openxmlformats.org/officeDocument/2006/relationships/table" Target="../tables/table8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7" Type="http://schemas.openxmlformats.org/officeDocument/2006/relationships/table" Target="../tables/table2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4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7" Type="http://schemas.openxmlformats.org/officeDocument/2006/relationships/table" Target="../tables/table30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7" Type="http://schemas.openxmlformats.org/officeDocument/2006/relationships/table" Target="../tables/table3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4.xml"/><Relationship Id="rId5" Type="http://schemas.openxmlformats.org/officeDocument/2006/relationships/table" Target="../tables/table33.xml"/><Relationship Id="rId4" Type="http://schemas.openxmlformats.org/officeDocument/2006/relationships/table" Target="../tables/table3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0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39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38.xml"/><Relationship Id="rId5" Type="http://schemas.openxmlformats.org/officeDocument/2006/relationships/table" Target="../tables/table37.xml"/><Relationship Id="rId4" Type="http://schemas.openxmlformats.org/officeDocument/2006/relationships/table" Target="../tables/table36.xml"/><Relationship Id="rId9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5.xml"/><Relationship Id="rId3" Type="http://schemas.openxmlformats.org/officeDocument/2006/relationships/vmlDrawing" Target="../drawings/vmlDrawing2.vml"/><Relationship Id="rId7" Type="http://schemas.openxmlformats.org/officeDocument/2006/relationships/table" Target="../tables/table44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43.xml"/><Relationship Id="rId5" Type="http://schemas.openxmlformats.org/officeDocument/2006/relationships/table" Target="../tables/table42.xml"/><Relationship Id="rId4" Type="http://schemas.openxmlformats.org/officeDocument/2006/relationships/table" Target="../tables/table41.xml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tabSelected="1"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36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AVERAGE(Instance[Newtonsoft])</f>
        <v>311.66666666666669</v>
      </c>
      <c r="D38" s="2">
        <f>AVERAGE(Instance[Revenj])</f>
        <v>315</v>
      </c>
      <c r="E38" s="2">
        <f>AVERAGE(Instance[ProtoBuf (binary reference)])</f>
        <v>312</v>
      </c>
      <c r="F38" s="2">
        <f>AVERAGE(Instance[Service Stack])</f>
        <v>316.33333333333331</v>
      </c>
      <c r="G38" s="2">
        <f>AVERAGE(Instance[Jil])</f>
        <v>318</v>
      </c>
      <c r="H38" s="2">
        <f>AVERAGE(Instance[NetJSON])</f>
        <v>317.66666666666669</v>
      </c>
      <c r="I38" s="2">
        <f>AVERAGE(Instance[Jackson])</f>
        <v>0</v>
      </c>
      <c r="J38" s="2">
        <f>AVERAGE(Instance[DSL-JSON])</f>
        <v>1</v>
      </c>
      <c r="K38" s="2">
        <f>AVERAGE(Instance[Kryo (binary reference)])</f>
        <v>1</v>
      </c>
      <c r="L38" s="2">
        <f>AVERAGE(Instance[Boon])</f>
        <v>1</v>
      </c>
      <c r="M38" s="2">
        <f>AVERAGE(Instance[Alibaba])</f>
        <v>1</v>
      </c>
      <c r="N38" s="2">
        <f>AVERAGE(Instance[Gson])</f>
        <v>1</v>
      </c>
      <c r="O38" s="2"/>
      <c r="P38" s="2"/>
      <c r="Q38" s="2"/>
    </row>
    <row r="39" spans="2:17" x14ac:dyDescent="0.25">
      <c r="B39" t="s">
        <v>0</v>
      </c>
      <c r="C39" s="2">
        <f>AVERAGE(Serialization[Newtonsoft]) - C38</f>
        <v>233.99999999999994</v>
      </c>
      <c r="D39" s="2">
        <f>AVERAGE(Serialization[Revenj]) - D38</f>
        <v>2</v>
      </c>
      <c r="E39" s="2">
        <f>AVERAGE(Serialization[ProtoBuf (binary reference)]) - E38</f>
        <v>103</v>
      </c>
      <c r="F39" s="2">
        <f>AVERAGE(Serialization[Service Stack]) - F38</f>
        <v>108.33333333333337</v>
      </c>
      <c r="G39" s="2">
        <f>AVERAGE(Serialization[Jil]) - G38</f>
        <v>370.66666666666663</v>
      </c>
      <c r="H39" s="2">
        <f>AVERAGE(Serialization[NetJSON]) - H38</f>
        <v>93.333333333333314</v>
      </c>
      <c r="I39" s="2">
        <f>AVERAGE(Serialization[Jackson]) - I38</f>
        <v>85.333333333333329</v>
      </c>
      <c r="J39" s="2">
        <f>AVERAGE(Serialization[DSL-JSON]) - J38</f>
        <v>0</v>
      </c>
      <c r="K39" s="2">
        <f>AVERAGE(Serialization[Kryo (binary reference)]) - K38</f>
        <v>13</v>
      </c>
      <c r="L39" s="2">
        <f>AVERAGE(Serialization[Boon]) - L38</f>
        <v>60.333333333333336</v>
      </c>
      <c r="M39" s="2">
        <f>AVERAGE(Serialization[Alibaba]) - M38</f>
        <v>156.33333333333334</v>
      </c>
      <c r="N39" s="2">
        <f>AVERAGE(Serialization[Gson]) - N38</f>
        <v>27.666666666666668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3.6666666666667425</v>
      </c>
      <c r="D40" s="2">
        <f t="shared" si="0"/>
        <v>16.666666666666686</v>
      </c>
      <c r="E40" s="2">
        <f t="shared" ref="E40" si="1">E41 - E39 - E38</f>
        <v>7.6666666666666856</v>
      </c>
      <c r="F40" s="2">
        <f t="shared" si="0"/>
        <v>37.666666666666629</v>
      </c>
      <c r="G40" s="2">
        <f t="shared" si="0"/>
        <v>142.33333333333337</v>
      </c>
      <c r="H40" s="2">
        <f t="shared" si="0"/>
        <v>4.3333333333333144</v>
      </c>
      <c r="I40" s="2">
        <f t="shared" ref="I40" si="2">I41 - I39 - I38</f>
        <v>32</v>
      </c>
      <c r="J40" s="2">
        <f t="shared" ref="J40" si="3">J41 - J39 - J38</f>
        <v>1</v>
      </c>
      <c r="K40" s="2">
        <f t="shared" ref="K40:L40" si="4">K41 - K39 - K38</f>
        <v>17</v>
      </c>
      <c r="L40" s="2">
        <f t="shared" si="4"/>
        <v>30.999999999999993</v>
      </c>
      <c r="M40" s="2">
        <f t="shared" ref="M40" si="5">M41 - M39 - M38</f>
        <v>10.666666666666657</v>
      </c>
      <c r="N40" s="2">
        <f t="shared" ref="N40" si="6">N41 - N39 - N38</f>
        <v>2</v>
      </c>
      <c r="O40" s="2"/>
      <c r="P40" s="2"/>
      <c r="Q40" s="2"/>
    </row>
    <row r="41" spans="2:17" x14ac:dyDescent="0.25">
      <c r="B41" t="s">
        <v>23</v>
      </c>
      <c r="C41" s="2">
        <f>AVERAGE(Both[Newtonsoft])</f>
        <v>549.33333333333337</v>
      </c>
      <c r="D41" s="2">
        <f>AVERAGE(Both[Revenj])</f>
        <v>333.66666666666669</v>
      </c>
      <c r="E41" s="2">
        <f>AVERAGE(Both[ProtoBuf (binary reference)])</f>
        <v>422.66666666666669</v>
      </c>
      <c r="F41" s="2">
        <f>AVERAGE(Both[Service Stack])</f>
        <v>462.33333333333331</v>
      </c>
      <c r="G41" s="2">
        <f>AVERAGE(Both[Jil])</f>
        <v>831</v>
      </c>
      <c r="H41" s="2">
        <f>AVERAGE(Both[NetJSON])</f>
        <v>415.33333333333331</v>
      </c>
      <c r="I41" s="2">
        <f>AVERAGE(Both[Jackson])</f>
        <v>117.33333333333333</v>
      </c>
      <c r="J41" s="2">
        <f>AVERAGE(Both[DSL-JSON])</f>
        <v>2</v>
      </c>
      <c r="K41" s="2">
        <f>AVERAGE(Both[Kryo (binary reference)])</f>
        <v>31</v>
      </c>
      <c r="L41" s="2">
        <f>AVERAGE(Both[Boon])</f>
        <v>92.333333333333329</v>
      </c>
      <c r="M41" s="2">
        <f>AVERAGE(Both[Alibaba])</f>
        <v>168</v>
      </c>
      <c r="N41" s="2">
        <f>AVERAGE(Both[Gson])</f>
        <v>30.666666666666668</v>
      </c>
      <c r="O41" s="2"/>
      <c r="P41" s="2"/>
      <c r="Q41" s="2"/>
    </row>
    <row r="42" spans="2:17" x14ac:dyDescent="0.25">
      <c r="B42" t="s">
        <v>4</v>
      </c>
      <c r="C42" s="3">
        <f>AVERAGE(Serialization[Newtonsoft (size)])</f>
        <v>40</v>
      </c>
      <c r="D42" s="3">
        <f>AVERAGE(Serialization[Revenj (size)])</f>
        <v>28</v>
      </c>
      <c r="E42" s="3">
        <f>AVERAGE(Serialization[ProtoBuf (size)])</f>
        <v>16</v>
      </c>
      <c r="F42" s="3">
        <f>AVERAGE(Serialization[Service Stack (size)])</f>
        <v>40</v>
      </c>
      <c r="G42" s="2">
        <f>AVERAGE(Serialization[Jil (size)])</f>
        <v>40</v>
      </c>
      <c r="H42" s="2">
        <f>AVERAGE(Serialization[NetJSON (size)])</f>
        <v>28</v>
      </c>
      <c r="I42" s="2">
        <f>AVERAGE(Serialization[Jackson (size)])</f>
        <v>40</v>
      </c>
      <c r="J42" s="2">
        <f>AVERAGE(Serialization[DSL-JSON (size)])</f>
        <v>28</v>
      </c>
      <c r="K42" s="2">
        <f>AVERAGE(Serialization[Kryo (size)])</f>
        <v>15</v>
      </c>
      <c r="L42" s="2">
        <f>AVERAGE(Serialization[Boon (size)])</f>
        <v>28</v>
      </c>
      <c r="M42" s="2">
        <f>AVERAGE(Serialization[Alibaba (size)])</f>
        <v>40</v>
      </c>
      <c r="N42" s="2">
        <f>AVERAGE(Serialization[Gson (size)])</f>
        <v>40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DEVSQ(Serialization[Newtonsoft])</f>
        <v>25092.666666666664</v>
      </c>
      <c r="D47" s="2">
        <f>DEVSQ(Serialization[Revenj])</f>
        <v>0</v>
      </c>
      <c r="E47" s="2">
        <f>DEVSQ(Serialization[ProtoBuf (binary reference)])</f>
        <v>2</v>
      </c>
      <c r="F47" s="2">
        <f>DEVSQ(Serialization[Service Stack])</f>
        <v>268.66666666666663</v>
      </c>
      <c r="G47" s="2">
        <f>DEVSQ(Serialization[Jil])</f>
        <v>18.666666666666664</v>
      </c>
      <c r="H47" s="2">
        <f>DEVSQ(Serialization[NetJSON])</f>
        <v>8</v>
      </c>
      <c r="I47" s="2">
        <f>DEVSQ(Serialization[Jackson])</f>
        <v>0.66666666666666663</v>
      </c>
      <c r="J47" s="2">
        <f>DEVSQ(Serialization[DSL-JSON])</f>
        <v>0</v>
      </c>
      <c r="K47" s="2">
        <f>DEVSQ(Serialization[Kryo (binary reference)])</f>
        <v>0</v>
      </c>
      <c r="L47" s="2">
        <f>DEVSQ(Serialization[Boon])</f>
        <v>0.66666666666666674</v>
      </c>
      <c r="M47" s="2">
        <f>DEVSQ(Serialization[Alibaba])</f>
        <v>324.66666666666663</v>
      </c>
      <c r="N47" s="2">
        <f>DEVSQ(Serialization[Gson])</f>
        <v>2.6666666666666665</v>
      </c>
      <c r="O47" s="2"/>
      <c r="P47" s="2"/>
      <c r="Q47" s="2"/>
    </row>
    <row r="48" spans="2:17" x14ac:dyDescent="0.25">
      <c r="B48" t="s">
        <v>23</v>
      </c>
      <c r="C48" s="2">
        <f>DEVSQ(Both[Newtonsoft])</f>
        <v>8.6666666666666679</v>
      </c>
      <c r="D48" s="2">
        <f>DEVSQ(Both[Revenj])</f>
        <v>2.666666666666667</v>
      </c>
      <c r="E48" s="2">
        <f>DEVSQ(Both[ProtoBuf (binary reference)])</f>
        <v>8.6666666666666661</v>
      </c>
      <c r="F48" s="2">
        <f>DEVSQ(Both[Service Stack])</f>
        <v>2.666666666666667</v>
      </c>
      <c r="G48" s="2">
        <f>DEVSQ(Both[Jil])</f>
        <v>122</v>
      </c>
      <c r="H48" s="2">
        <f>DEVSQ(Both[NetJSON])</f>
        <v>0.66666666666666674</v>
      </c>
      <c r="I48" s="2">
        <f>DEVSQ(Both[Jackson])</f>
        <v>2.666666666666667</v>
      </c>
      <c r="J48" s="2">
        <f>DEVSQ(Both[DSL-JSON])</f>
        <v>0</v>
      </c>
      <c r="K48" s="2">
        <f>DEVSQ(Both[Kryo (binary reference)])</f>
        <v>2</v>
      </c>
      <c r="L48" s="2">
        <f>DEVSQ(Both[Boon])</f>
        <v>8.6666666666666661</v>
      </c>
      <c r="M48" s="2">
        <f>DEVSQ(Both[Alibaba])</f>
        <v>2</v>
      </c>
      <c r="N48" s="2">
        <f>DEVSQ(Both[Gson])</f>
        <v>0.66666666666666674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312</v>
      </c>
      <c r="C52">
        <v>312</v>
      </c>
      <c r="D52">
        <v>312</v>
      </c>
      <c r="E52">
        <v>317</v>
      </c>
      <c r="F52">
        <v>320</v>
      </c>
      <c r="G52">
        <v>317</v>
      </c>
      <c r="H52">
        <v>0</v>
      </c>
      <c r="I52">
        <v>1</v>
      </c>
      <c r="J52">
        <v>1</v>
      </c>
      <c r="K52">
        <v>1</v>
      </c>
      <c r="L52">
        <v>1</v>
      </c>
      <c r="M52">
        <v>1</v>
      </c>
    </row>
    <row r="53" spans="2:25" x14ac:dyDescent="0.25">
      <c r="B53">
        <v>312</v>
      </c>
      <c r="C53">
        <v>318</v>
      </c>
      <c r="D53">
        <v>313</v>
      </c>
      <c r="E53">
        <v>316</v>
      </c>
      <c r="F53">
        <v>316</v>
      </c>
      <c r="G53">
        <v>317</v>
      </c>
      <c r="H53">
        <v>0</v>
      </c>
      <c r="I53">
        <v>1</v>
      </c>
      <c r="J53">
        <v>1</v>
      </c>
      <c r="K53">
        <v>1</v>
      </c>
      <c r="L53">
        <v>1</v>
      </c>
      <c r="M53">
        <v>1</v>
      </c>
    </row>
    <row r="54" spans="2:25" x14ac:dyDescent="0.25">
      <c r="B54">
        <v>311</v>
      </c>
      <c r="C54">
        <v>315</v>
      </c>
      <c r="D54">
        <v>311</v>
      </c>
      <c r="E54">
        <v>316</v>
      </c>
      <c r="F54">
        <v>318</v>
      </c>
      <c r="G54">
        <v>319</v>
      </c>
      <c r="H54">
        <v>0</v>
      </c>
      <c r="I54">
        <v>1</v>
      </c>
      <c r="J54">
        <v>1</v>
      </c>
      <c r="K54">
        <v>1</v>
      </c>
      <c r="L54">
        <v>1</v>
      </c>
      <c r="M54">
        <v>1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675</v>
      </c>
      <c r="C58">
        <v>317</v>
      </c>
      <c r="D58">
        <v>414</v>
      </c>
      <c r="E58">
        <v>438</v>
      </c>
      <c r="F58">
        <v>692</v>
      </c>
      <c r="G58">
        <v>411</v>
      </c>
      <c r="H58">
        <v>85</v>
      </c>
      <c r="I58">
        <v>1</v>
      </c>
      <c r="J58">
        <v>14</v>
      </c>
      <c r="K58">
        <v>62</v>
      </c>
      <c r="L58">
        <v>172</v>
      </c>
      <c r="M58">
        <v>30</v>
      </c>
      <c r="N58">
        <v>40</v>
      </c>
      <c r="O58">
        <v>28</v>
      </c>
      <c r="P58">
        <v>16</v>
      </c>
      <c r="Q58">
        <v>40</v>
      </c>
      <c r="R58">
        <v>40</v>
      </c>
      <c r="S58">
        <v>28</v>
      </c>
      <c r="T58">
        <v>40</v>
      </c>
      <c r="U58">
        <v>28</v>
      </c>
      <c r="V58">
        <v>15</v>
      </c>
      <c r="W58">
        <v>28</v>
      </c>
      <c r="X58">
        <v>40</v>
      </c>
      <c r="Y58">
        <v>40</v>
      </c>
    </row>
    <row r="59" spans="2:25" x14ac:dyDescent="0.25">
      <c r="B59">
        <v>480</v>
      </c>
      <c r="C59">
        <v>317</v>
      </c>
      <c r="D59">
        <v>416</v>
      </c>
      <c r="E59">
        <v>419</v>
      </c>
      <c r="F59">
        <v>686</v>
      </c>
      <c r="G59">
        <v>409</v>
      </c>
      <c r="H59">
        <v>86</v>
      </c>
      <c r="I59">
        <v>1</v>
      </c>
      <c r="J59">
        <v>14</v>
      </c>
      <c r="K59">
        <v>61</v>
      </c>
      <c r="L59">
        <v>151</v>
      </c>
      <c r="M59">
        <v>28</v>
      </c>
      <c r="N59">
        <v>40</v>
      </c>
      <c r="O59">
        <v>28</v>
      </c>
      <c r="P59">
        <v>16</v>
      </c>
      <c r="Q59">
        <v>40</v>
      </c>
      <c r="R59">
        <v>40</v>
      </c>
      <c r="S59">
        <v>28</v>
      </c>
      <c r="T59">
        <v>40</v>
      </c>
      <c r="U59">
        <v>28</v>
      </c>
      <c r="V59">
        <v>15</v>
      </c>
      <c r="W59">
        <v>28</v>
      </c>
      <c r="X59">
        <v>40</v>
      </c>
      <c r="Y59">
        <v>40</v>
      </c>
    </row>
    <row r="60" spans="2:25" x14ac:dyDescent="0.25">
      <c r="B60">
        <v>482</v>
      </c>
      <c r="C60">
        <v>317</v>
      </c>
      <c r="D60">
        <v>415</v>
      </c>
      <c r="E60">
        <v>417</v>
      </c>
      <c r="F60">
        <v>688</v>
      </c>
      <c r="G60">
        <v>413</v>
      </c>
      <c r="H60">
        <v>85</v>
      </c>
      <c r="I60">
        <v>1</v>
      </c>
      <c r="J60">
        <v>14</v>
      </c>
      <c r="K60">
        <v>61</v>
      </c>
      <c r="L60">
        <v>149</v>
      </c>
      <c r="M60">
        <v>28</v>
      </c>
      <c r="N60">
        <v>40</v>
      </c>
      <c r="O60">
        <v>28</v>
      </c>
      <c r="P60">
        <v>16</v>
      </c>
      <c r="Q60">
        <v>40</v>
      </c>
      <c r="R60">
        <v>40</v>
      </c>
      <c r="S60">
        <v>28</v>
      </c>
      <c r="T60">
        <v>40</v>
      </c>
      <c r="U60">
        <v>28</v>
      </c>
      <c r="V60">
        <v>15</v>
      </c>
      <c r="W60">
        <v>28</v>
      </c>
      <c r="X60">
        <v>40</v>
      </c>
      <c r="Y60">
        <v>40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547</v>
      </c>
      <c r="C64">
        <v>335</v>
      </c>
      <c r="D64">
        <v>425</v>
      </c>
      <c r="E64">
        <v>463</v>
      </c>
      <c r="F64">
        <v>840</v>
      </c>
      <c r="G64">
        <v>415</v>
      </c>
      <c r="H64">
        <v>118</v>
      </c>
      <c r="I64">
        <v>2</v>
      </c>
      <c r="J64">
        <v>32</v>
      </c>
      <c r="K64">
        <v>90</v>
      </c>
      <c r="L64">
        <v>169</v>
      </c>
      <c r="M64">
        <v>30</v>
      </c>
    </row>
    <row r="65" spans="2:13" x14ac:dyDescent="0.25">
      <c r="B65">
        <v>550</v>
      </c>
      <c r="C65">
        <v>333</v>
      </c>
      <c r="D65">
        <v>422</v>
      </c>
      <c r="E65">
        <v>461</v>
      </c>
      <c r="F65">
        <v>827</v>
      </c>
      <c r="G65">
        <v>415</v>
      </c>
      <c r="H65">
        <v>116</v>
      </c>
      <c r="I65">
        <v>2</v>
      </c>
      <c r="J65">
        <v>30</v>
      </c>
      <c r="K65">
        <v>94</v>
      </c>
      <c r="L65">
        <v>168</v>
      </c>
      <c r="M65">
        <v>31</v>
      </c>
    </row>
    <row r="66" spans="2:13" x14ac:dyDescent="0.25">
      <c r="B66">
        <v>551</v>
      </c>
      <c r="C66">
        <v>333</v>
      </c>
      <c r="D66">
        <v>421</v>
      </c>
      <c r="E66">
        <v>463</v>
      </c>
      <c r="F66">
        <v>826</v>
      </c>
      <c r="G66">
        <v>416</v>
      </c>
      <c r="H66">
        <v>118</v>
      </c>
      <c r="I66">
        <v>2</v>
      </c>
      <c r="J66">
        <v>31</v>
      </c>
      <c r="K66">
        <v>93</v>
      </c>
      <c r="L66">
        <v>167</v>
      </c>
      <c r="M66">
        <v>31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45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AVERAGE(Table57[Newtonsoft])</f>
        <v>8132</v>
      </c>
      <c r="D38" s="2">
        <f>AVERAGE(Table57[Revenj])</f>
        <v>8452.6666666666661</v>
      </c>
      <c r="E38" s="2">
        <f>AVERAGE(Table57[ProtoBuf (binary reference)])</f>
        <v>8024</v>
      </c>
      <c r="F38" s="2">
        <f>AVERAGE(Table57[Service Stack])</f>
        <v>7988.333333333333</v>
      </c>
      <c r="G38" s="2">
        <f>AVERAGE(Table57[Jil])</f>
        <v>7991.333333333333</v>
      </c>
      <c r="H38" s="2">
        <f>AVERAGE(Table57[NetJSON])</f>
        <v>8192.3333333333339</v>
      </c>
      <c r="I38" s="2">
        <f>AVERAGE(Table57[Jackson])</f>
        <v>5186.666666666667</v>
      </c>
      <c r="J38" s="2">
        <f>AVERAGE(Table57[DSL-JSON])</f>
        <v>5033.333333333333</v>
      </c>
      <c r="K38" s="2">
        <f>AVERAGE(Table57[Kryo (binary reference)])</f>
        <v>5239</v>
      </c>
      <c r="L38" s="2">
        <f>AVERAGE(Table57[Boon])</f>
        <v>5040.666666666667</v>
      </c>
      <c r="M38" s="2">
        <f>AVERAGE(Table57[Alibaba])</f>
        <v>5117</v>
      </c>
      <c r="N38" s="2">
        <f>AVERAGE(Table57[Gson])</f>
        <v>5120</v>
      </c>
      <c r="O38" s="2"/>
      <c r="P38" s="2"/>
      <c r="Q38" s="2"/>
    </row>
    <row r="39" spans="2:17" x14ac:dyDescent="0.25">
      <c r="B39" t="s">
        <v>0</v>
      </c>
      <c r="C39" s="2">
        <f>AVERAGE(Table56[Newtonsoft]) - C38</f>
        <v>31641.666666666664</v>
      </c>
      <c r="D39" s="2">
        <f>AVERAGE(Table56[Revenj]) - D38</f>
        <v>9255.6666666666661</v>
      </c>
      <c r="E39" s="2">
        <f>AVERAGE(Table56[ProtoBuf (binary reference)]) - E38</f>
        <v>8532.6666666666679</v>
      </c>
      <c r="F39" s="2">
        <f>AVERAGE(Table56[Service Stack]) - F38</f>
        <v>29590.333333333332</v>
      </c>
      <c r="G39" s="2">
        <f>AVERAGE(Table56[Jil]) - G38</f>
        <v>20929.666666666668</v>
      </c>
      <c r="H39" s="2">
        <f>AVERAGE(Table56[NetJSON]) - H38</f>
        <v>17409.333333333336</v>
      </c>
      <c r="I39" s="2">
        <f>AVERAGE(Table56[Jackson]) - I38</f>
        <v>10752</v>
      </c>
      <c r="J39" s="2">
        <f>AVERAGE(Table56[DSL-JSON]) - J38</f>
        <v>3119.666666666667</v>
      </c>
      <c r="K39" s="2">
        <f>AVERAGE(Table56[Kryo (binary reference)]) - K38</f>
        <v>2916.333333333333</v>
      </c>
      <c r="L39" s="2">
        <f>AVERAGE(Table56[Boon]) - L38</f>
        <v>36756.666666666672</v>
      </c>
      <c r="M39" s="4" t="s">
        <v>54</v>
      </c>
      <c r="N39" s="2">
        <f>AVERAGE(Table56[Gson]) - N38</f>
        <v>53794.666666666664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76448</v>
      </c>
      <c r="D40" s="2">
        <f t="shared" si="0"/>
        <v>17787.000000000007</v>
      </c>
      <c r="E40" s="2">
        <f t="shared" ref="E40" si="1">E41 - E39 - E38</f>
        <v>17525.333333333332</v>
      </c>
      <c r="F40" s="2">
        <f t="shared" si="0"/>
        <v>59270.666666666664</v>
      </c>
      <c r="G40" s="2">
        <f t="shared" si="0"/>
        <v>31256.333333333339</v>
      </c>
      <c r="H40" s="2">
        <f t="shared" si="0"/>
        <v>65605.666666666672</v>
      </c>
      <c r="I40" s="2">
        <f t="shared" ref="I40" si="2">I41 - I39 - I38</f>
        <v>27167.999999999996</v>
      </c>
      <c r="J40" s="2">
        <f t="shared" ref="J40" si="3">J41 - J39 - J38</f>
        <v>4500.3333333333348</v>
      </c>
      <c r="K40" s="2">
        <f t="shared" ref="K40:L40" si="4">K41 - K39 - K38</f>
        <v>3914.6666666666679</v>
      </c>
      <c r="L40" s="2" t="e">
        <f t="shared" si="4"/>
        <v>#DIV/0!</v>
      </c>
      <c r="M40" s="2" t="e">
        <f t="shared" ref="M40" si="5">M41 - M39 - M38</f>
        <v>#VALUE!</v>
      </c>
      <c r="N40" s="2">
        <f t="shared" ref="N40" si="6">N41 - N39 - N38</f>
        <v>48146.333333333336</v>
      </c>
      <c r="O40" s="2"/>
      <c r="P40" s="2"/>
      <c r="Q40" s="2"/>
    </row>
    <row r="41" spans="2:17" x14ac:dyDescent="0.25">
      <c r="B41" t="s">
        <v>23</v>
      </c>
      <c r="C41" s="2">
        <f>AVERAGE(Table58[Newtonsoft])</f>
        <v>116221.66666666667</v>
      </c>
      <c r="D41" s="2">
        <f>AVERAGE(Table58[Revenj])</f>
        <v>35495.333333333336</v>
      </c>
      <c r="E41" s="2">
        <f>AVERAGE(Table58[ProtoBuf (binary reference)])</f>
        <v>34082</v>
      </c>
      <c r="F41" s="2">
        <f>AVERAGE(Table58[Service Stack])</f>
        <v>96849.333333333328</v>
      </c>
      <c r="G41" s="2">
        <f>AVERAGE(Table58[Jil])</f>
        <v>60177.333333333336</v>
      </c>
      <c r="H41" s="2">
        <f>AVERAGE(Table58[NetJSON])</f>
        <v>91207.333333333328</v>
      </c>
      <c r="I41" s="2">
        <f>AVERAGE(Table58[Jackson])</f>
        <v>43106.666666666664</v>
      </c>
      <c r="J41" s="2">
        <f>AVERAGE(Table58[DSL-JSON])</f>
        <v>12653.333333333334</v>
      </c>
      <c r="K41" s="2">
        <f>AVERAGE(Table58[Kryo (binary reference)])</f>
        <v>12070</v>
      </c>
      <c r="L41" s="2" t="e">
        <f>AVERAGE(Table58[Boon])</f>
        <v>#DIV/0!</v>
      </c>
      <c r="M41" s="4" t="s">
        <v>54</v>
      </c>
      <c r="N41" s="2">
        <f>AVERAGE(Table58[Gson])</f>
        <v>107061</v>
      </c>
      <c r="O41" s="2"/>
      <c r="P41" s="2"/>
      <c r="Q41" s="2"/>
    </row>
    <row r="42" spans="2:17" x14ac:dyDescent="0.25">
      <c r="B42" t="s">
        <v>4</v>
      </c>
      <c r="C42" s="3">
        <f>AVERAGE(Table56[Newtonsoft (size)])</f>
        <v>1213888890</v>
      </c>
      <c r="D42" s="3">
        <f>AVERAGE(Table56[Revenj (size)])</f>
        <v>1038888890</v>
      </c>
      <c r="E42" s="3">
        <f>AVERAGE(Table56[ProtoBuf (size)])</f>
        <v>468888890</v>
      </c>
      <c r="F42" s="3">
        <f>AVERAGE(Table56[Service Stack (size)])</f>
        <v>1203888890</v>
      </c>
      <c r="G42" s="2">
        <f>AVERAGE(Table56[Jil (size)])</f>
        <v>1213888890</v>
      </c>
      <c r="H42" s="2">
        <f>AVERAGE(Table56[NetJSON (size)])</f>
        <v>1208888890</v>
      </c>
      <c r="I42" s="2">
        <f>AVERAGE(Table56[Jackson (size)])</f>
        <v>1113888890</v>
      </c>
      <c r="J42" s="2">
        <f>AVERAGE(Table56[DSL-JSON (size)])</f>
        <v>1038888890</v>
      </c>
      <c r="K42" s="2">
        <f>AVERAGE(Table56[Kryo (size)])</f>
        <v>408888890</v>
      </c>
      <c r="L42" s="2">
        <f>AVERAGE(Table56[Boon (size)])</f>
        <v>918888890</v>
      </c>
      <c r="M42" s="4" t="s">
        <v>54</v>
      </c>
      <c r="N42" s="2">
        <f>AVERAGE(Table56[Gson (size)])</f>
        <v>1113888890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DEVSQ(Table56[Newtonsoft])</f>
        <v>390244.66666666669</v>
      </c>
      <c r="D47" s="2">
        <f>DEVSQ(Table56[Revenj])</f>
        <v>10688.666666666668</v>
      </c>
      <c r="E47" s="2">
        <f>DEVSQ(Table56[ProtoBuf (binary reference)])</f>
        <v>2772.666666666667</v>
      </c>
      <c r="F47" s="2">
        <f>DEVSQ(Table56[Service Stack])</f>
        <v>19682.666666666668</v>
      </c>
      <c r="G47" s="2">
        <f>DEVSQ(Table56[Jil])</f>
        <v>105902</v>
      </c>
      <c r="H47" s="2">
        <f>DEVSQ(Table56[NetJSON])</f>
        <v>36392.666666666664</v>
      </c>
      <c r="I47" s="2">
        <f>DEVSQ(Table56[Jackson])</f>
        <v>51584.666666666664</v>
      </c>
      <c r="J47" s="2">
        <f>DEVSQ(Table56[DSL-JSON])</f>
        <v>12066</v>
      </c>
      <c r="K47" s="2">
        <f>DEVSQ(Table56[Kryo (binary reference)])</f>
        <v>52380.666666666657</v>
      </c>
      <c r="L47" s="2">
        <f>DEVSQ(Table56[Boon])</f>
        <v>4777570.666666667</v>
      </c>
      <c r="M47" s="2">
        <f>DEVSQ(Table56[Alibaba])</f>
        <v>499377852.66666675</v>
      </c>
      <c r="N47" s="2">
        <f>DEVSQ(Table56[Gson])</f>
        <v>1693650.666666667</v>
      </c>
      <c r="O47" s="2"/>
      <c r="P47" s="2"/>
      <c r="Q47" s="2"/>
    </row>
    <row r="48" spans="2:17" x14ac:dyDescent="0.25">
      <c r="B48" t="s">
        <v>23</v>
      </c>
      <c r="C48" s="2">
        <f>DEVSQ(Table58[Newtonsoft])</f>
        <v>27220.666666666668</v>
      </c>
      <c r="D48" s="2">
        <f>DEVSQ(Table58[Revenj])</f>
        <v>11308.666666666668</v>
      </c>
      <c r="E48" s="2">
        <f>DEVSQ(Table58[ProtoBuf (binary reference)])</f>
        <v>20646</v>
      </c>
      <c r="F48" s="2">
        <f>DEVSQ(Table58[Service Stack])</f>
        <v>30364.666666666672</v>
      </c>
      <c r="G48" s="2">
        <f>DEVSQ(Table58[Jil])</f>
        <v>7634.6666666666679</v>
      </c>
      <c r="H48" s="2">
        <f>DEVSQ(Table58[NetJSON])</f>
        <v>69568.666666666672</v>
      </c>
      <c r="I48" s="2">
        <f>DEVSQ(Table58[Jackson])</f>
        <v>2226684.666666667</v>
      </c>
      <c r="J48" s="2">
        <f>DEVSQ(Table58[DSL-JSON])</f>
        <v>239020.66666666669</v>
      </c>
      <c r="K48" s="2">
        <f>DEVSQ(Table58[Kryo (binary reference)])</f>
        <v>581906</v>
      </c>
      <c r="L48" s="2" t="e">
        <f>DEVSQ(Table58[Boon])</f>
        <v>#NUM!</v>
      </c>
      <c r="M48" s="2">
        <f>DEVSQ(Table58[Alibaba])</f>
        <v>3885804.666666666</v>
      </c>
      <c r="N48" s="2">
        <f>DEVSQ(Table58[Gson])</f>
        <v>2422566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8133</v>
      </c>
      <c r="C52">
        <v>8328</v>
      </c>
      <c r="D52">
        <v>8013</v>
      </c>
      <c r="E52">
        <v>8046</v>
      </c>
      <c r="F52">
        <v>7994</v>
      </c>
      <c r="G52">
        <v>8158</v>
      </c>
      <c r="H52">
        <v>5345</v>
      </c>
      <c r="I52">
        <v>5022</v>
      </c>
      <c r="J52">
        <v>5528</v>
      </c>
      <c r="K52">
        <v>5065</v>
      </c>
      <c r="L52">
        <v>5115</v>
      </c>
      <c r="M52">
        <v>5032</v>
      </c>
    </row>
    <row r="53" spans="2:25" x14ac:dyDescent="0.25">
      <c r="B53">
        <v>8139</v>
      </c>
      <c r="C53">
        <v>8748</v>
      </c>
      <c r="D53">
        <v>8029</v>
      </c>
      <c r="E53">
        <v>7960</v>
      </c>
      <c r="F53">
        <v>7982</v>
      </c>
      <c r="G53">
        <v>8171</v>
      </c>
      <c r="H53">
        <v>5031</v>
      </c>
      <c r="I53">
        <v>5044</v>
      </c>
      <c r="J53">
        <v>5109</v>
      </c>
      <c r="K53">
        <v>5042</v>
      </c>
      <c r="L53">
        <v>5194</v>
      </c>
      <c r="M53">
        <v>5209</v>
      </c>
    </row>
    <row r="54" spans="2:25" x14ac:dyDescent="0.25">
      <c r="B54">
        <v>8124</v>
      </c>
      <c r="C54">
        <v>8282</v>
      </c>
      <c r="D54">
        <v>8030</v>
      </c>
      <c r="E54">
        <v>7959</v>
      </c>
      <c r="F54">
        <v>7998</v>
      </c>
      <c r="G54">
        <v>8248</v>
      </c>
      <c r="H54">
        <v>5184</v>
      </c>
      <c r="I54">
        <v>5034</v>
      </c>
      <c r="J54">
        <v>5080</v>
      </c>
      <c r="K54">
        <v>5015</v>
      </c>
      <c r="L54">
        <v>5042</v>
      </c>
      <c r="M54">
        <v>5119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39324</v>
      </c>
      <c r="C58">
        <v>17686</v>
      </c>
      <c r="D58">
        <v>16529</v>
      </c>
      <c r="E58">
        <v>37586</v>
      </c>
      <c r="F58">
        <v>28871</v>
      </c>
      <c r="G58">
        <v>25624</v>
      </c>
      <c r="H58">
        <v>16109</v>
      </c>
      <c r="I58">
        <v>8182</v>
      </c>
      <c r="J58">
        <v>8021</v>
      </c>
      <c r="K58">
        <v>42546</v>
      </c>
      <c r="L58">
        <v>226042</v>
      </c>
      <c r="M58">
        <v>58114</v>
      </c>
      <c r="N58">
        <v>1213888890</v>
      </c>
      <c r="O58">
        <v>1038888890</v>
      </c>
      <c r="P58">
        <v>468888890</v>
      </c>
      <c r="Q58">
        <v>1203888890</v>
      </c>
      <c r="R58">
        <v>1213888890</v>
      </c>
      <c r="S58">
        <v>1208888890</v>
      </c>
      <c r="T58">
        <v>1113888890</v>
      </c>
      <c r="U58">
        <v>1038888890</v>
      </c>
      <c r="V58">
        <v>408888890</v>
      </c>
      <c r="W58">
        <v>918888890</v>
      </c>
      <c r="X58">
        <v>19618327016</v>
      </c>
      <c r="Y58">
        <v>1113888890</v>
      </c>
    </row>
    <row r="59" spans="2:25" x14ac:dyDescent="0.25">
      <c r="B59">
        <v>39790</v>
      </c>
      <c r="C59">
        <v>17649</v>
      </c>
      <c r="D59">
        <v>16542</v>
      </c>
      <c r="E59">
        <v>37674</v>
      </c>
      <c r="F59">
        <v>28720</v>
      </c>
      <c r="G59">
        <v>25457</v>
      </c>
      <c r="H59">
        <v>15790</v>
      </c>
      <c r="I59">
        <v>8212</v>
      </c>
      <c r="J59">
        <v>8335</v>
      </c>
      <c r="K59">
        <v>40020</v>
      </c>
      <c r="L59">
        <v>197289</v>
      </c>
      <c r="M59">
        <v>59920</v>
      </c>
      <c r="N59">
        <v>1213888890</v>
      </c>
      <c r="O59">
        <v>1038888890</v>
      </c>
      <c r="P59">
        <v>468888890</v>
      </c>
      <c r="Q59">
        <v>1203888890</v>
      </c>
      <c r="R59">
        <v>1213888890</v>
      </c>
      <c r="S59">
        <v>1208888890</v>
      </c>
      <c r="T59">
        <v>1113888890</v>
      </c>
      <c r="U59">
        <v>1038888890</v>
      </c>
      <c r="V59">
        <v>408888890</v>
      </c>
      <c r="W59">
        <v>918888890</v>
      </c>
      <c r="X59">
        <v>19618327067</v>
      </c>
      <c r="Y59">
        <v>1113888890</v>
      </c>
    </row>
    <row r="60" spans="2:25" x14ac:dyDescent="0.25">
      <c r="B60">
        <v>40207</v>
      </c>
      <c r="C60">
        <v>17790</v>
      </c>
      <c r="D60">
        <v>16599</v>
      </c>
      <c r="E60">
        <v>37476</v>
      </c>
      <c r="F60">
        <v>29172</v>
      </c>
      <c r="G60">
        <v>25724</v>
      </c>
      <c r="H60">
        <v>15917</v>
      </c>
      <c r="I60">
        <v>8065</v>
      </c>
      <c r="J60">
        <v>8110</v>
      </c>
      <c r="K60">
        <v>42826</v>
      </c>
      <c r="L60">
        <v>200307</v>
      </c>
      <c r="M60">
        <v>58710</v>
      </c>
      <c r="N60">
        <v>1213888890</v>
      </c>
      <c r="O60">
        <v>1038888890</v>
      </c>
      <c r="P60">
        <v>468888890</v>
      </c>
      <c r="Q60">
        <v>1203888890</v>
      </c>
      <c r="R60">
        <v>1213888890</v>
      </c>
      <c r="S60">
        <v>1208888890</v>
      </c>
      <c r="T60">
        <v>1113888890</v>
      </c>
      <c r="U60">
        <v>1038888890</v>
      </c>
      <c r="V60">
        <v>408888890</v>
      </c>
      <c r="W60">
        <v>918888890</v>
      </c>
      <c r="X60">
        <v>19618327115</v>
      </c>
      <c r="Y60">
        <v>1113888890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116292</v>
      </c>
      <c r="C64">
        <v>35477</v>
      </c>
      <c r="D64">
        <v>33968</v>
      </c>
      <c r="E64">
        <v>96716</v>
      </c>
      <c r="F64">
        <v>60166</v>
      </c>
      <c r="G64">
        <v>91393</v>
      </c>
      <c r="H64">
        <v>44325</v>
      </c>
      <c r="I64">
        <v>12667</v>
      </c>
      <c r="J64">
        <v>12046</v>
      </c>
      <c r="L64">
        <v>480822</v>
      </c>
      <c r="M64">
        <v>107790</v>
      </c>
    </row>
    <row r="65" spans="2:13" x14ac:dyDescent="0.25">
      <c r="B65">
        <v>116286</v>
      </c>
      <c r="C65">
        <v>35578</v>
      </c>
      <c r="D65">
        <v>34163</v>
      </c>
      <c r="E65">
        <v>96873</v>
      </c>
      <c r="F65">
        <v>60244</v>
      </c>
      <c r="G65">
        <v>91209</v>
      </c>
      <c r="H65">
        <v>42488</v>
      </c>
      <c r="I65">
        <v>12301</v>
      </c>
      <c r="J65">
        <v>11543</v>
      </c>
      <c r="L65">
        <v>478765</v>
      </c>
      <c r="M65">
        <v>107598</v>
      </c>
    </row>
    <row r="66" spans="2:13" x14ac:dyDescent="0.25">
      <c r="B66">
        <v>116087</v>
      </c>
      <c r="C66">
        <v>35431</v>
      </c>
      <c r="D66">
        <v>34115</v>
      </c>
      <c r="E66">
        <v>96959</v>
      </c>
      <c r="F66">
        <v>60122</v>
      </c>
      <c r="G66">
        <v>91020</v>
      </c>
      <c r="H66">
        <v>42507</v>
      </c>
      <c r="I66">
        <v>12992</v>
      </c>
      <c r="J66">
        <v>12621</v>
      </c>
      <c r="L66">
        <v>478164</v>
      </c>
      <c r="M66">
        <v>105795</v>
      </c>
    </row>
  </sheetData>
  <pageMargins left="0.7" right="0.7" top="0.75" bottom="0.75" header="0.3" footer="0.3"/>
  <pageSetup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46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AVERAGE(Table62[Newtonsoft])</f>
        <v>473</v>
      </c>
      <c r="D38" s="2">
        <f>AVERAGE(Table62[Revenj])</f>
        <v>474.66666666666669</v>
      </c>
      <c r="E38" s="2">
        <f>AVERAGE(Table62[ProtoBuf (binary reference)])</f>
        <v>473.33333333333331</v>
      </c>
      <c r="F38" s="2">
        <f>AVERAGE(Table62[Service Stack])</f>
        <v>478</v>
      </c>
      <c r="G38" s="2">
        <f>AVERAGE(Table62[Jil])</f>
        <v>478.66666666666669</v>
      </c>
      <c r="H38" s="2" t="e">
        <f>AVERAGE(Table62[NetJSON])</f>
        <v>#DIV/0!</v>
      </c>
      <c r="I38" s="2">
        <f>AVERAGE(Table62[Jackson])</f>
        <v>32.333333333333336</v>
      </c>
      <c r="J38" s="2">
        <f>AVERAGE(Table62[DSL-JSON])</f>
        <v>32.333333333333336</v>
      </c>
      <c r="K38" s="2">
        <f>AVERAGE(Table62[Kryo (binary reference)])</f>
        <v>31</v>
      </c>
      <c r="L38" s="2" t="e">
        <f>AVERAGE(Table62[Boon])</f>
        <v>#DIV/0!</v>
      </c>
      <c r="M38" s="2" t="e">
        <f>AVERAGE(Table62[Alibaba])</f>
        <v>#DIV/0!</v>
      </c>
      <c r="N38" s="2">
        <f>AVERAGE(Table62[Gson])</f>
        <v>29</v>
      </c>
      <c r="O38" s="2"/>
      <c r="P38" s="2"/>
      <c r="Q38" s="2"/>
    </row>
    <row r="39" spans="2:17" x14ac:dyDescent="0.25">
      <c r="B39" t="s">
        <v>0</v>
      </c>
      <c r="C39" s="2">
        <f>AVERAGE(Table61[Newtonsoft]) - C38</f>
        <v>291.33333333333337</v>
      </c>
      <c r="D39" s="2">
        <f>AVERAGE(Table61[Revenj]) - D38</f>
        <v>44.333333333333314</v>
      </c>
      <c r="E39" s="2">
        <f>AVERAGE(Table61[ProtoBuf (binary reference)]) - E38</f>
        <v>161.33333333333331</v>
      </c>
      <c r="F39" s="2">
        <f>AVERAGE(Table61[Service Stack]) - F38</f>
        <v>215.66666666666663</v>
      </c>
      <c r="G39" s="2">
        <f>AVERAGE(Table61[Jil]) - G38</f>
        <v>523.66666666666674</v>
      </c>
      <c r="H39" s="2" t="e">
        <f>AVERAGE(Table61[NetJSON]) - H38</f>
        <v>#DIV/0!</v>
      </c>
      <c r="I39" s="2">
        <f>AVERAGE(Table61[Jackson]) - I38</f>
        <v>230.33333333333334</v>
      </c>
      <c r="J39" s="2">
        <f>AVERAGE(Table61[DSL-JSON]) - J38</f>
        <v>38.999999999999993</v>
      </c>
      <c r="K39" s="2">
        <f>AVERAGE(Table61[Kryo (binary reference)]) - K38</f>
        <v>74</v>
      </c>
      <c r="L39" s="2" t="e">
        <f>AVERAGE(Table61[Boon]) - L38</f>
        <v>#DIV/0!</v>
      </c>
      <c r="M39" s="2" t="e">
        <f>AVERAGE(Table61[Alibaba]) - M38</f>
        <v>#DIV/0!</v>
      </c>
      <c r="N39" s="2">
        <f>AVERAGE(Table61[Gson]) - N38</f>
        <v>286.33333333333331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224</v>
      </c>
      <c r="D40" s="2">
        <f t="shared" si="0"/>
        <v>92.666666666666572</v>
      </c>
      <c r="E40" s="2">
        <f t="shared" ref="E40" si="1">E41 - E39 - E38</f>
        <v>41.999999999999943</v>
      </c>
      <c r="F40" s="2">
        <f t="shared" si="0"/>
        <v>206.66666666666674</v>
      </c>
      <c r="G40" s="2">
        <f t="shared" si="0"/>
        <v>297.66666666666657</v>
      </c>
      <c r="H40" s="2" t="e">
        <f t="shared" si="0"/>
        <v>#DIV/0!</v>
      </c>
      <c r="I40" s="2">
        <f t="shared" ref="I40" si="2">I41 - I39 - I38</f>
        <v>338.99999999999994</v>
      </c>
      <c r="J40" s="2">
        <f t="shared" ref="J40" si="3">J41 - J39 - J38</f>
        <v>78.666666666666657</v>
      </c>
      <c r="K40" s="2">
        <f t="shared" ref="K40:L40" si="4">K41 - K39 - K38</f>
        <v>67</v>
      </c>
      <c r="L40" s="2" t="e">
        <f t="shared" si="4"/>
        <v>#DIV/0!</v>
      </c>
      <c r="M40" s="2" t="e">
        <f t="shared" ref="M40" si="5">M41 - M39 - M38</f>
        <v>#DIV/0!</v>
      </c>
      <c r="N40" s="2">
        <f t="shared" ref="N40" si="6">N41 - N39 - N38</f>
        <v>341.00000000000006</v>
      </c>
      <c r="O40" s="2"/>
      <c r="P40" s="2"/>
      <c r="Q40" s="2"/>
    </row>
    <row r="41" spans="2:17" x14ac:dyDescent="0.25">
      <c r="B41" t="s">
        <v>23</v>
      </c>
      <c r="C41" s="2">
        <f>AVERAGE(Table63[Newtonsoft])</f>
        <v>988.33333333333337</v>
      </c>
      <c r="D41" s="2">
        <f>AVERAGE(Table63[Revenj])</f>
        <v>611.66666666666663</v>
      </c>
      <c r="E41" s="2">
        <f>AVERAGE(Table63[ProtoBuf (binary reference)])</f>
        <v>676.66666666666663</v>
      </c>
      <c r="F41" s="2">
        <f>AVERAGE(Table63[Service Stack])</f>
        <v>900.33333333333337</v>
      </c>
      <c r="G41" s="2">
        <f>AVERAGE(Table63[Jil])</f>
        <v>1300</v>
      </c>
      <c r="H41" s="2" t="e">
        <f>AVERAGE(Table63[NetJSON])</f>
        <v>#DIV/0!</v>
      </c>
      <c r="I41" s="2">
        <f>AVERAGE(Table63[Jackson])</f>
        <v>601.66666666666663</v>
      </c>
      <c r="J41" s="2">
        <f>AVERAGE(Table63[DSL-JSON])</f>
        <v>150</v>
      </c>
      <c r="K41" s="2">
        <f>AVERAGE(Table63[Kryo (binary reference)])</f>
        <v>172</v>
      </c>
      <c r="L41" s="2" t="e">
        <f>AVERAGE(Table63[Boon])</f>
        <v>#DIV/0!</v>
      </c>
      <c r="M41" s="2" t="e">
        <f>AVERAGE(Table63[Alibaba])</f>
        <v>#DIV/0!</v>
      </c>
      <c r="N41" s="2">
        <f>AVERAGE(Table63[Gson])</f>
        <v>656.33333333333337</v>
      </c>
      <c r="O41" s="2"/>
      <c r="P41" s="2"/>
      <c r="Q41" s="2"/>
    </row>
    <row r="42" spans="2:17" x14ac:dyDescent="0.25">
      <c r="B42" t="s">
        <v>4</v>
      </c>
      <c r="C42" s="3">
        <f>AVERAGE(Table61[Newtonsoft (size)])</f>
        <v>2234454</v>
      </c>
      <c r="D42" s="3">
        <f>AVERAGE(Table61[Revenj (size)])</f>
        <v>1802584</v>
      </c>
      <c r="E42" s="3">
        <f>AVERAGE(Table61[ProtoBuf (size)])</f>
        <v>704000</v>
      </c>
      <c r="F42" s="3">
        <f>AVERAGE(Table61[Service Stack (size)])</f>
        <v>1740659</v>
      </c>
      <c r="G42" s="2">
        <f>AVERAGE(Table61[Jil (size)])</f>
        <v>2249785</v>
      </c>
      <c r="H42" s="2" t="e">
        <f>AVERAGE(Table61[NetJSON (size)])</f>
        <v>#DIV/0!</v>
      </c>
      <c r="I42" s="2">
        <f>AVERAGE(Table61[Jackson (size)])</f>
        <v>1763995</v>
      </c>
      <c r="J42" s="2">
        <f>AVERAGE(Table61[DSL-JSON (size)])</f>
        <v>1802584</v>
      </c>
      <c r="K42" s="2">
        <f>AVERAGE(Table61[Kryo (size)])</f>
        <v>654855</v>
      </c>
      <c r="L42" s="2" t="e">
        <f>AVERAGE(Table61[Boon (size)])</f>
        <v>#DIV/0!</v>
      </c>
      <c r="M42" s="2" t="e">
        <f>AVERAGE(Table61[Alibaba (size)])</f>
        <v>#DIV/0!</v>
      </c>
      <c r="N42" s="2">
        <f>AVERAGE(Table61[Gson (size)])</f>
        <v>1763995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DEVSQ(Table61[Newtonsoft])</f>
        <v>242.66666666666669</v>
      </c>
      <c r="D47" s="2">
        <f>DEVSQ(Table61[Revenj])</f>
        <v>6</v>
      </c>
      <c r="E47" s="2">
        <f>DEVSQ(Table61[ProtoBuf (binary reference)])</f>
        <v>2.666666666666667</v>
      </c>
      <c r="F47" s="2">
        <f>DEVSQ(Table61[Service Stack])</f>
        <v>8.6666666666666661</v>
      </c>
      <c r="G47" s="2">
        <f>DEVSQ(Table61[Jil])</f>
        <v>4.666666666666667</v>
      </c>
      <c r="H47" s="2" t="e">
        <f>DEVSQ(Table61[NetJSON])</f>
        <v>#NUM!</v>
      </c>
      <c r="I47" s="2">
        <f>DEVSQ(Table61[Jackson])</f>
        <v>4.6666666666666661</v>
      </c>
      <c r="J47" s="2">
        <f>DEVSQ(Table61[DSL-JSON])</f>
        <v>2.666666666666667</v>
      </c>
      <c r="K47" s="2">
        <f>DEVSQ(Table61[Kryo (binary reference)])</f>
        <v>26</v>
      </c>
      <c r="L47" s="2" t="e">
        <f>DEVSQ(Table61[Boon])</f>
        <v>#NUM!</v>
      </c>
      <c r="M47" s="2" t="e">
        <f>DEVSQ(Table61[Alibaba])</f>
        <v>#NUM!</v>
      </c>
      <c r="N47" s="2">
        <f>DEVSQ(Table61[Gson])</f>
        <v>10.666666666666666</v>
      </c>
      <c r="O47" s="2"/>
      <c r="P47" s="2"/>
      <c r="Q47" s="2"/>
    </row>
    <row r="48" spans="2:17" x14ac:dyDescent="0.25">
      <c r="B48" t="s">
        <v>23</v>
      </c>
      <c r="C48" s="2">
        <f>DEVSQ(Table63[Newtonsoft])</f>
        <v>12.666666666666666</v>
      </c>
      <c r="D48" s="2">
        <f>DEVSQ(Table63[Revenj])</f>
        <v>18.666666666666664</v>
      </c>
      <c r="E48" s="2">
        <f>DEVSQ(Table63[ProtoBuf (binary reference)])</f>
        <v>0.66666666666666663</v>
      </c>
      <c r="F48" s="2">
        <f>DEVSQ(Table63[Service Stack])</f>
        <v>10.666666666666668</v>
      </c>
      <c r="G48" s="2">
        <f>DEVSQ(Table63[Jil])</f>
        <v>6</v>
      </c>
      <c r="H48" s="2" t="e">
        <f>DEVSQ(Table63[NetJSON])</f>
        <v>#NUM!</v>
      </c>
      <c r="I48" s="2">
        <f>DEVSQ(Table63[Jackson])</f>
        <v>242.66666666666669</v>
      </c>
      <c r="J48" s="2">
        <f>DEVSQ(Table63[DSL-JSON])</f>
        <v>194</v>
      </c>
      <c r="K48" s="2">
        <f>DEVSQ(Table63[Kryo (binary reference)])</f>
        <v>42</v>
      </c>
      <c r="L48" s="2" t="e">
        <f>DEVSQ(Table63[Boon])</f>
        <v>#NUM!</v>
      </c>
      <c r="M48" s="2" t="e">
        <f>DEVSQ(Table63[Alibaba])</f>
        <v>#NUM!</v>
      </c>
      <c r="N48" s="2">
        <f>DEVSQ(Table63[Gson])</f>
        <v>7234.6666666666661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474</v>
      </c>
      <c r="C52">
        <v>475</v>
      </c>
      <c r="D52">
        <v>474</v>
      </c>
      <c r="E52">
        <v>477</v>
      </c>
      <c r="F52">
        <v>478</v>
      </c>
      <c r="H52">
        <v>32</v>
      </c>
      <c r="I52">
        <v>33</v>
      </c>
      <c r="J52">
        <v>35</v>
      </c>
      <c r="M52">
        <v>29</v>
      </c>
    </row>
    <row r="53" spans="2:25" x14ac:dyDescent="0.25">
      <c r="B53">
        <v>471</v>
      </c>
      <c r="C53">
        <v>474</v>
      </c>
      <c r="D53">
        <v>474</v>
      </c>
      <c r="E53">
        <v>480</v>
      </c>
      <c r="F53">
        <v>478</v>
      </c>
      <c r="H53">
        <v>32</v>
      </c>
      <c r="I53">
        <v>32</v>
      </c>
      <c r="J53">
        <v>29</v>
      </c>
      <c r="M53">
        <v>29</v>
      </c>
    </row>
    <row r="54" spans="2:25" x14ac:dyDescent="0.25">
      <c r="B54">
        <v>474</v>
      </c>
      <c r="C54">
        <v>475</v>
      </c>
      <c r="D54">
        <v>472</v>
      </c>
      <c r="E54">
        <v>477</v>
      </c>
      <c r="F54">
        <v>480</v>
      </c>
      <c r="H54">
        <v>33</v>
      </c>
      <c r="I54">
        <v>32</v>
      </c>
      <c r="J54">
        <v>29</v>
      </c>
      <c r="M54">
        <v>29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777</v>
      </c>
      <c r="C58">
        <v>521</v>
      </c>
      <c r="D58">
        <v>634</v>
      </c>
      <c r="E58">
        <v>696</v>
      </c>
      <c r="F58">
        <v>1001</v>
      </c>
      <c r="H58">
        <v>263</v>
      </c>
      <c r="I58">
        <v>72</v>
      </c>
      <c r="J58">
        <v>102</v>
      </c>
      <c r="M58">
        <v>318</v>
      </c>
      <c r="N58">
        <v>2234454</v>
      </c>
      <c r="O58">
        <v>1802584</v>
      </c>
      <c r="P58">
        <v>704000</v>
      </c>
      <c r="Q58">
        <v>1740659</v>
      </c>
      <c r="R58">
        <v>2249785</v>
      </c>
      <c r="T58">
        <v>1763995</v>
      </c>
      <c r="U58">
        <v>1802584</v>
      </c>
      <c r="V58">
        <v>654855</v>
      </c>
      <c r="Y58">
        <v>1763995</v>
      </c>
    </row>
    <row r="59" spans="2:25" x14ac:dyDescent="0.25">
      <c r="B59">
        <v>757</v>
      </c>
      <c r="C59">
        <v>518</v>
      </c>
      <c r="D59">
        <v>634</v>
      </c>
      <c r="E59">
        <v>692</v>
      </c>
      <c r="F59">
        <v>1002</v>
      </c>
      <c r="H59">
        <v>264</v>
      </c>
      <c r="I59">
        <v>70</v>
      </c>
      <c r="J59">
        <v>109</v>
      </c>
      <c r="M59">
        <v>314</v>
      </c>
      <c r="N59">
        <v>2234454</v>
      </c>
      <c r="O59">
        <v>1802584</v>
      </c>
      <c r="P59">
        <v>704000</v>
      </c>
      <c r="Q59">
        <v>1740659</v>
      </c>
      <c r="R59">
        <v>2249785</v>
      </c>
      <c r="T59">
        <v>1763995</v>
      </c>
      <c r="U59">
        <v>1802584</v>
      </c>
      <c r="V59">
        <v>654855</v>
      </c>
      <c r="Y59">
        <v>1763995</v>
      </c>
    </row>
    <row r="60" spans="2:25" x14ac:dyDescent="0.25">
      <c r="B60">
        <v>759</v>
      </c>
      <c r="C60">
        <v>518</v>
      </c>
      <c r="D60">
        <v>636</v>
      </c>
      <c r="E60">
        <v>693</v>
      </c>
      <c r="F60">
        <v>1004</v>
      </c>
      <c r="H60">
        <v>261</v>
      </c>
      <c r="I60">
        <v>72</v>
      </c>
      <c r="J60">
        <v>104</v>
      </c>
      <c r="M60">
        <v>314</v>
      </c>
      <c r="N60">
        <v>2234454</v>
      </c>
      <c r="O60">
        <v>1802584</v>
      </c>
      <c r="P60">
        <v>704000</v>
      </c>
      <c r="Q60">
        <v>1740659</v>
      </c>
      <c r="R60">
        <v>2249785</v>
      </c>
      <c r="T60">
        <v>1763995</v>
      </c>
      <c r="U60">
        <v>1802584</v>
      </c>
      <c r="V60">
        <v>654855</v>
      </c>
      <c r="Y60">
        <v>1763995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991</v>
      </c>
      <c r="C64">
        <v>615</v>
      </c>
      <c r="D64">
        <v>677</v>
      </c>
      <c r="E64">
        <v>899</v>
      </c>
      <c r="F64">
        <v>1301</v>
      </c>
      <c r="H64">
        <v>589</v>
      </c>
      <c r="I64">
        <v>142</v>
      </c>
      <c r="J64">
        <v>176</v>
      </c>
      <c r="M64">
        <v>725</v>
      </c>
    </row>
    <row r="65" spans="2:13" x14ac:dyDescent="0.25">
      <c r="B65">
        <v>986</v>
      </c>
      <c r="C65">
        <v>611</v>
      </c>
      <c r="D65">
        <v>676</v>
      </c>
      <c r="E65">
        <v>899</v>
      </c>
      <c r="F65">
        <v>1301</v>
      </c>
      <c r="H65">
        <v>609</v>
      </c>
      <c r="I65">
        <v>161</v>
      </c>
      <c r="J65">
        <v>173</v>
      </c>
      <c r="M65">
        <v>631</v>
      </c>
    </row>
    <row r="66" spans="2:13" x14ac:dyDescent="0.25">
      <c r="B66">
        <v>988</v>
      </c>
      <c r="C66">
        <v>609</v>
      </c>
      <c r="D66">
        <v>677</v>
      </c>
      <c r="E66">
        <v>903</v>
      </c>
      <c r="F66">
        <v>1298</v>
      </c>
      <c r="H66">
        <v>607</v>
      </c>
      <c r="I66">
        <v>147</v>
      </c>
      <c r="J66">
        <v>167</v>
      </c>
      <c r="M66">
        <v>613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47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AVERAGE(Table67[Newtonsoft])</f>
        <v>668.66666666666663</v>
      </c>
      <c r="D38" s="2">
        <f>AVERAGE(Table67[Revenj])</f>
        <v>668.33333333333337</v>
      </c>
      <c r="E38" s="2">
        <f>AVERAGE(Table67[ProtoBuf (binary reference)])</f>
        <v>667.33333333333337</v>
      </c>
      <c r="F38" s="2">
        <f>AVERAGE(Table67[Service Stack])</f>
        <v>702.66666666666663</v>
      </c>
      <c r="G38" s="2">
        <f>AVERAGE(Table67[Jil])</f>
        <v>669.33333333333337</v>
      </c>
      <c r="H38" s="2" t="e">
        <f>AVERAGE(Table67[NetJSON])</f>
        <v>#DIV/0!</v>
      </c>
      <c r="I38" s="2">
        <f>AVERAGE(Table67[Jackson])</f>
        <v>64.333333333333329</v>
      </c>
      <c r="J38" s="2">
        <f>AVERAGE(Table67[DSL-JSON])</f>
        <v>64.333333333333329</v>
      </c>
      <c r="K38" s="2">
        <f>AVERAGE(Table67[Kryo (binary reference)])</f>
        <v>59.333333333333336</v>
      </c>
      <c r="L38" s="2" t="e">
        <f>AVERAGE(Table67[Boon])</f>
        <v>#DIV/0!</v>
      </c>
      <c r="M38" s="2" t="e">
        <f>AVERAGE(Table67[Alibaba])</f>
        <v>#DIV/0!</v>
      </c>
      <c r="N38" s="2">
        <f>AVERAGE(Table67[Gson])</f>
        <v>62.666666666666664</v>
      </c>
      <c r="O38" s="2"/>
      <c r="P38" s="2"/>
      <c r="Q38" s="2"/>
    </row>
    <row r="39" spans="2:17" x14ac:dyDescent="0.25">
      <c r="B39" t="s">
        <v>0</v>
      </c>
      <c r="C39" s="2">
        <f>AVERAGE(Table66[Newtonsoft]) - C38</f>
        <v>1125.6666666666665</v>
      </c>
      <c r="D39" s="2">
        <f>AVERAGE(Table66[Revenj]) - D38</f>
        <v>275</v>
      </c>
      <c r="E39" s="2">
        <f>AVERAGE(Table66[ProtoBuf (binary reference)]) - E38</f>
        <v>270.66666666666663</v>
      </c>
      <c r="F39" s="2">
        <f>AVERAGE(Table66[Service Stack]) - F38</f>
        <v>738.00000000000011</v>
      </c>
      <c r="G39" s="2">
        <f>AVERAGE(Table66[Jil]) - G38</f>
        <v>1055</v>
      </c>
      <c r="H39" s="2" t="e">
        <f>AVERAGE(Table66[NetJSON]) - H38</f>
        <v>#DIV/0!</v>
      </c>
      <c r="I39" s="2">
        <f>AVERAGE(Table66[Jackson]) - I38</f>
        <v>520.66666666666663</v>
      </c>
      <c r="J39" s="2">
        <f>AVERAGE(Table66[DSL-JSON]) - J38</f>
        <v>131.33333333333331</v>
      </c>
      <c r="K39" s="2">
        <f>AVERAGE(Table66[Kryo (binary reference)]) - K38</f>
        <v>151</v>
      </c>
      <c r="L39" s="2" t="e">
        <f>AVERAGE(Table66[Boon]) - L38</f>
        <v>#DIV/0!</v>
      </c>
      <c r="M39" s="2" t="e">
        <f>AVERAGE(Table66[Alibaba]) - M38</f>
        <v>#DIV/0!</v>
      </c>
      <c r="N39" s="2">
        <f>AVERAGE(Table66[Gson]) - N38</f>
        <v>1232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1325.3333333333335</v>
      </c>
      <c r="D40" s="2">
        <f t="shared" si="0"/>
        <v>569.66666666666663</v>
      </c>
      <c r="E40" s="2">
        <f t="shared" ref="E40" si="1">E41 - E39 - E38</f>
        <v>215.66666666666674</v>
      </c>
      <c r="F40" s="2">
        <f t="shared" si="0"/>
        <v>1123.666666666667</v>
      </c>
      <c r="G40" s="2">
        <f t="shared" si="0"/>
        <v>900.66666666666663</v>
      </c>
      <c r="H40" s="2" t="e">
        <f t="shared" si="0"/>
        <v>#DIV/0!</v>
      </c>
      <c r="I40" s="2">
        <f t="shared" ref="I40" si="2">I41 - I39 - I38</f>
        <v>1009.6666666666666</v>
      </c>
      <c r="J40" s="2">
        <f t="shared" ref="J40" si="3">J41 - J39 - J38</f>
        <v>259.33333333333337</v>
      </c>
      <c r="K40" s="2">
        <f t="shared" ref="K40:L40" si="4">K41 - K39 - K38</f>
        <v>169.99999999999997</v>
      </c>
      <c r="L40" s="2" t="e">
        <f t="shared" si="4"/>
        <v>#DIV/0!</v>
      </c>
      <c r="M40" s="2" t="e">
        <f t="shared" ref="M40" si="5">M41 - M39 - M38</f>
        <v>#DIV/0!</v>
      </c>
      <c r="N40" s="2">
        <f t="shared" ref="N40" si="6">N41 - N39 - N38</f>
        <v>1223.6666666666667</v>
      </c>
      <c r="O40" s="2"/>
      <c r="P40" s="2"/>
      <c r="Q40" s="2"/>
    </row>
    <row r="41" spans="2:17" x14ac:dyDescent="0.25">
      <c r="B41" t="s">
        <v>23</v>
      </c>
      <c r="C41" s="2">
        <f>AVERAGE(Table68[Newtonsoft])</f>
        <v>3119.6666666666665</v>
      </c>
      <c r="D41" s="2">
        <f>AVERAGE(Table68[Revenj])</f>
        <v>1513</v>
      </c>
      <c r="E41" s="2">
        <f>AVERAGE(Table68[ProtoBuf (binary reference)])</f>
        <v>1153.6666666666667</v>
      </c>
      <c r="F41" s="2">
        <f>AVERAGE(Table68[Service Stack])</f>
        <v>2564.3333333333335</v>
      </c>
      <c r="G41" s="2">
        <f>AVERAGE(Table68[Jil])</f>
        <v>2625</v>
      </c>
      <c r="H41" s="2" t="e">
        <f>AVERAGE(Table68[NetJSON])</f>
        <v>#DIV/0!</v>
      </c>
      <c r="I41" s="2">
        <f>AVERAGE(Table68[Jackson])</f>
        <v>1594.6666666666667</v>
      </c>
      <c r="J41" s="2">
        <f>AVERAGE(Table68[DSL-JSON])</f>
        <v>455</v>
      </c>
      <c r="K41" s="2">
        <f>AVERAGE(Table68[Kryo (binary reference)])</f>
        <v>380.33333333333331</v>
      </c>
      <c r="L41" s="2" t="e">
        <f>AVERAGE(Table68[Boon])</f>
        <v>#DIV/0!</v>
      </c>
      <c r="M41" s="2" t="e">
        <f>AVERAGE(Table68[Alibaba])</f>
        <v>#DIV/0!</v>
      </c>
      <c r="N41" s="2">
        <f>AVERAGE(Table68[Gson])</f>
        <v>2518.3333333333335</v>
      </c>
      <c r="O41" s="2"/>
      <c r="P41" s="2"/>
      <c r="Q41" s="2"/>
    </row>
    <row r="42" spans="2:17" x14ac:dyDescent="0.25">
      <c r="B42" t="s">
        <v>4</v>
      </c>
      <c r="C42" s="3">
        <f>AVERAGE(Table66[Newtonsoft (size)])</f>
        <v>23246001</v>
      </c>
      <c r="D42" s="3">
        <f>AVERAGE(Table66[Revenj (size)])</f>
        <v>18939843</v>
      </c>
      <c r="E42" s="3">
        <f>AVERAGE(Table66[ProtoBuf (size)])</f>
        <v>7506385</v>
      </c>
      <c r="F42" s="3">
        <f>AVERAGE(Table66[Service Stack (size)])</f>
        <v>18307918</v>
      </c>
      <c r="G42" s="2">
        <f>AVERAGE(Table66[Jil (size)])</f>
        <v>23399332</v>
      </c>
      <c r="H42" s="2" t="e">
        <f>AVERAGE(Table66[NetJSON (size)])</f>
        <v>#DIV/0!</v>
      </c>
      <c r="I42" s="2">
        <f>AVERAGE(Table66[Jackson (size)])</f>
        <v>18541254</v>
      </c>
      <c r="J42" s="2">
        <f>AVERAGE(Table66[DSL-JSON (size)])</f>
        <v>18939843</v>
      </c>
      <c r="K42" s="2">
        <f>AVERAGE(Table66[Kryo (size)])</f>
        <v>7091834</v>
      </c>
      <c r="L42" s="2" t="e">
        <f>AVERAGE(Table66[Boon (size)])</f>
        <v>#DIV/0!</v>
      </c>
      <c r="M42" s="2" t="e">
        <f>AVERAGE(Table66[Alibaba (size)])</f>
        <v>#DIV/0!</v>
      </c>
      <c r="N42" s="2">
        <f>AVERAGE(Table66[Gson (size)])</f>
        <v>18541254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DEVSQ(Table66[Newtonsoft])</f>
        <v>22244.666666666664</v>
      </c>
      <c r="D47" s="2">
        <f>DEVSQ(Table66[Revenj])</f>
        <v>32.666666666666664</v>
      </c>
      <c r="E47" s="2">
        <f>DEVSQ(Table66[ProtoBuf (binary reference)])</f>
        <v>42</v>
      </c>
      <c r="F47" s="2">
        <f>DEVSQ(Table66[Service Stack])</f>
        <v>148.66666666666666</v>
      </c>
      <c r="G47" s="2">
        <f>DEVSQ(Table66[Jil])</f>
        <v>44.666666666666664</v>
      </c>
      <c r="H47" s="2" t="e">
        <f>DEVSQ(Table66[NetJSON])</f>
        <v>#NUM!</v>
      </c>
      <c r="I47" s="2">
        <f>DEVSQ(Table66[Jackson])</f>
        <v>602</v>
      </c>
      <c r="J47" s="2">
        <f>DEVSQ(Table66[DSL-JSON])</f>
        <v>8.6666666666666679</v>
      </c>
      <c r="K47" s="2">
        <f>DEVSQ(Table66[Kryo (binary reference)])</f>
        <v>60.666666666666664</v>
      </c>
      <c r="L47" s="2" t="e">
        <f>DEVSQ(Table66[Boon])</f>
        <v>#NUM!</v>
      </c>
      <c r="M47" s="2" t="e">
        <f>DEVSQ(Table66[Alibaba])</f>
        <v>#NUM!</v>
      </c>
      <c r="N47" s="2">
        <f>DEVSQ(Table66[Gson])</f>
        <v>572.66666666666674</v>
      </c>
      <c r="O47" s="2"/>
      <c r="P47" s="2"/>
      <c r="Q47" s="2"/>
    </row>
    <row r="48" spans="2:17" x14ac:dyDescent="0.25">
      <c r="B48" t="s">
        <v>23</v>
      </c>
      <c r="C48" s="2">
        <f>DEVSQ(Table68[Newtonsoft])</f>
        <v>332.66666666666663</v>
      </c>
      <c r="D48" s="2">
        <f>DEVSQ(Table68[Revenj])</f>
        <v>86</v>
      </c>
      <c r="E48" s="2">
        <f>DEVSQ(Table68[ProtoBuf (binary reference)])</f>
        <v>34.666666666666671</v>
      </c>
      <c r="F48" s="2">
        <f>DEVSQ(Table68[Service Stack])</f>
        <v>66.666666666666671</v>
      </c>
      <c r="G48" s="2">
        <f>DEVSQ(Table68[Jil])</f>
        <v>104</v>
      </c>
      <c r="H48" s="2" t="e">
        <f>DEVSQ(Table68[NetJSON])</f>
        <v>#NUM!</v>
      </c>
      <c r="I48" s="2">
        <f>DEVSQ(Table68[Jackson])</f>
        <v>14498.666666666666</v>
      </c>
      <c r="J48" s="2">
        <f>DEVSQ(Table68[DSL-JSON])</f>
        <v>96</v>
      </c>
      <c r="K48" s="2">
        <f>DEVSQ(Table68[Kryo (binary reference)])</f>
        <v>120.66666666666667</v>
      </c>
      <c r="L48" s="2" t="e">
        <f>DEVSQ(Table68[Boon])</f>
        <v>#NUM!</v>
      </c>
      <c r="M48" s="2" t="e">
        <f>DEVSQ(Table68[Alibaba])</f>
        <v>#NUM!</v>
      </c>
      <c r="N48" s="2">
        <f>DEVSQ(Table68[Gson])</f>
        <v>1570.6666666666665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671</v>
      </c>
      <c r="C52">
        <v>663</v>
      </c>
      <c r="D52">
        <v>664</v>
      </c>
      <c r="E52">
        <v>670</v>
      </c>
      <c r="F52">
        <v>669</v>
      </c>
      <c r="H52">
        <v>66</v>
      </c>
      <c r="I52">
        <v>65</v>
      </c>
      <c r="J52">
        <v>61</v>
      </c>
      <c r="M52">
        <v>64</v>
      </c>
    </row>
    <row r="53" spans="2:25" x14ac:dyDescent="0.25">
      <c r="B53">
        <v>670</v>
      </c>
      <c r="C53">
        <v>679</v>
      </c>
      <c r="D53">
        <v>672</v>
      </c>
      <c r="E53">
        <v>769</v>
      </c>
      <c r="F53">
        <v>667</v>
      </c>
      <c r="H53">
        <v>64</v>
      </c>
      <c r="I53">
        <v>64</v>
      </c>
      <c r="J53">
        <v>56</v>
      </c>
      <c r="M53">
        <v>63</v>
      </c>
    </row>
    <row r="54" spans="2:25" x14ac:dyDescent="0.25">
      <c r="B54">
        <v>665</v>
      </c>
      <c r="C54">
        <v>663</v>
      </c>
      <c r="D54">
        <v>666</v>
      </c>
      <c r="E54">
        <v>669</v>
      </c>
      <c r="F54">
        <v>672</v>
      </c>
      <c r="H54">
        <v>63</v>
      </c>
      <c r="I54">
        <v>64</v>
      </c>
      <c r="J54">
        <v>61</v>
      </c>
      <c r="M54">
        <v>61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1916</v>
      </c>
      <c r="C58">
        <v>947</v>
      </c>
      <c r="D58">
        <v>943</v>
      </c>
      <c r="E58">
        <v>1450</v>
      </c>
      <c r="F58">
        <v>1728</v>
      </c>
      <c r="H58">
        <v>566</v>
      </c>
      <c r="I58">
        <v>198</v>
      </c>
      <c r="J58">
        <v>214</v>
      </c>
      <c r="M58">
        <v>1276</v>
      </c>
      <c r="N58">
        <v>23246001</v>
      </c>
      <c r="O58">
        <v>18939843</v>
      </c>
      <c r="P58">
        <v>7506385</v>
      </c>
      <c r="Q58">
        <v>18307918</v>
      </c>
      <c r="R58">
        <v>23399332</v>
      </c>
      <c r="T58">
        <v>18541254</v>
      </c>
      <c r="U58">
        <v>18939843</v>
      </c>
      <c r="V58">
        <v>7091834</v>
      </c>
      <c r="Y58">
        <v>18541254</v>
      </c>
    </row>
    <row r="59" spans="2:25" x14ac:dyDescent="0.25">
      <c r="B59">
        <v>1729</v>
      </c>
      <c r="C59">
        <v>944</v>
      </c>
      <c r="D59">
        <v>934</v>
      </c>
      <c r="E59">
        <v>1433</v>
      </c>
      <c r="F59">
        <v>1719</v>
      </c>
      <c r="H59">
        <v>600</v>
      </c>
      <c r="I59">
        <v>195</v>
      </c>
      <c r="J59">
        <v>213</v>
      </c>
      <c r="M59">
        <v>1299</v>
      </c>
      <c r="N59">
        <v>23246001</v>
      </c>
      <c r="O59">
        <v>18939843</v>
      </c>
      <c r="P59">
        <v>7506385</v>
      </c>
      <c r="Q59">
        <v>18307918</v>
      </c>
      <c r="R59">
        <v>23399332</v>
      </c>
      <c r="T59">
        <v>18541254</v>
      </c>
      <c r="U59">
        <v>18939843</v>
      </c>
      <c r="V59">
        <v>7091834</v>
      </c>
      <c r="Y59">
        <v>18541254</v>
      </c>
    </row>
    <row r="60" spans="2:25" x14ac:dyDescent="0.25">
      <c r="B60">
        <v>1738</v>
      </c>
      <c r="C60">
        <v>939</v>
      </c>
      <c r="D60">
        <v>937</v>
      </c>
      <c r="E60">
        <v>1439</v>
      </c>
      <c r="F60">
        <v>1726</v>
      </c>
      <c r="H60">
        <v>589</v>
      </c>
      <c r="I60">
        <v>194</v>
      </c>
      <c r="J60">
        <v>204</v>
      </c>
      <c r="M60">
        <v>1309</v>
      </c>
      <c r="N60">
        <v>23246001</v>
      </c>
      <c r="O60">
        <v>18939843</v>
      </c>
      <c r="P60">
        <v>7506385</v>
      </c>
      <c r="Q60">
        <v>18307918</v>
      </c>
      <c r="R60">
        <v>23399332</v>
      </c>
      <c r="T60">
        <v>18541254</v>
      </c>
      <c r="U60">
        <v>18939843</v>
      </c>
      <c r="V60">
        <v>7091834</v>
      </c>
      <c r="Y60">
        <v>18541254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3134</v>
      </c>
      <c r="C64">
        <v>1512</v>
      </c>
      <c r="D64">
        <v>1155</v>
      </c>
      <c r="E64">
        <v>2561</v>
      </c>
      <c r="F64">
        <v>2633</v>
      </c>
      <c r="H64">
        <v>1558</v>
      </c>
      <c r="I64">
        <v>459</v>
      </c>
      <c r="J64">
        <v>389</v>
      </c>
      <c r="M64">
        <v>2517</v>
      </c>
    </row>
    <row r="65" spans="2:13" x14ac:dyDescent="0.25">
      <c r="B65">
        <v>3116</v>
      </c>
      <c r="C65">
        <v>1507</v>
      </c>
      <c r="D65">
        <v>1157</v>
      </c>
      <c r="E65">
        <v>2561</v>
      </c>
      <c r="F65">
        <v>2619</v>
      </c>
      <c r="H65">
        <v>1534</v>
      </c>
      <c r="I65">
        <v>447</v>
      </c>
      <c r="J65">
        <v>378</v>
      </c>
      <c r="M65">
        <v>2491</v>
      </c>
    </row>
    <row r="66" spans="2:13" x14ac:dyDescent="0.25">
      <c r="B66">
        <v>3109</v>
      </c>
      <c r="C66">
        <v>1520</v>
      </c>
      <c r="D66">
        <v>1149</v>
      </c>
      <c r="E66">
        <v>2571</v>
      </c>
      <c r="F66">
        <v>2623</v>
      </c>
      <c r="H66">
        <v>1692</v>
      </c>
      <c r="I66">
        <v>459</v>
      </c>
      <c r="J66">
        <v>374</v>
      </c>
      <c r="M66">
        <v>2547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48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AVERAGE(Table72[Newtonsoft])</f>
        <v>2588.6666666666665</v>
      </c>
      <c r="D38" s="2">
        <f>AVERAGE(Table72[Revenj])</f>
        <v>2583.3333333333335</v>
      </c>
      <c r="E38" s="2">
        <f>AVERAGE(Table72[ProtoBuf (binary reference)])</f>
        <v>2579.3333333333335</v>
      </c>
      <c r="F38" s="2">
        <f>AVERAGE(Table72[Service Stack])</f>
        <v>2594</v>
      </c>
      <c r="G38" s="2">
        <f>AVERAGE(Table72[Jil])</f>
        <v>2572.3333333333335</v>
      </c>
      <c r="H38" s="2" t="e">
        <f>AVERAGE(Table72[NetJSON])</f>
        <v>#DIV/0!</v>
      </c>
      <c r="I38" s="2">
        <f>AVERAGE(Table72[Jackson])</f>
        <v>188.66666666666666</v>
      </c>
      <c r="J38" s="2">
        <f>AVERAGE(Table72[DSL-JSON])</f>
        <v>188.33333333333334</v>
      </c>
      <c r="K38" s="2">
        <f>AVERAGE(Table72[Kryo (binary reference)])</f>
        <v>191.66666666666666</v>
      </c>
      <c r="L38" s="2" t="e">
        <f>AVERAGE(Table72[Boon])</f>
        <v>#DIV/0!</v>
      </c>
      <c r="M38" s="2" t="e">
        <f>AVERAGE(Table72[Alibaba])</f>
        <v>#DIV/0!</v>
      </c>
      <c r="N38" s="2">
        <f>AVERAGE(Table72[Gson])</f>
        <v>189</v>
      </c>
      <c r="O38" s="2"/>
      <c r="P38" s="2"/>
      <c r="Q38" s="2"/>
    </row>
    <row r="39" spans="2:17" x14ac:dyDescent="0.25">
      <c r="B39" t="s">
        <v>0</v>
      </c>
      <c r="C39" s="2">
        <f>AVERAGE(Table71[Newtonsoft]) - C38</f>
        <v>8988</v>
      </c>
      <c r="D39" s="2">
        <f>AVERAGE(Table71[Revenj]) - D38</f>
        <v>2632.6666666666665</v>
      </c>
      <c r="E39" s="2">
        <f>AVERAGE(Table71[ProtoBuf (binary reference)]) - E38</f>
        <v>1328.6666666666665</v>
      </c>
      <c r="F39" s="2">
        <f>AVERAGE(Table71[Service Stack]) - F38</f>
        <v>6273.3333333333339</v>
      </c>
      <c r="G39" s="2">
        <f>AVERAGE(Table71[Jil]) - G38</f>
        <v>6462</v>
      </c>
      <c r="H39" s="2" t="e">
        <f>AVERAGE(Table71[NetJSON]) - H38</f>
        <v>#DIV/0!</v>
      </c>
      <c r="I39" s="2">
        <f>AVERAGE(Table71[Jackson]) - I38</f>
        <v>2035.3333333333333</v>
      </c>
      <c r="J39" s="2">
        <f>AVERAGE(Table71[DSL-JSON]) - J38</f>
        <v>724</v>
      </c>
      <c r="K39" s="2">
        <f>AVERAGE(Table71[Kryo (binary reference)]) - K38</f>
        <v>681.33333333333337</v>
      </c>
      <c r="L39" s="2" t="e">
        <f>AVERAGE(Table71[Boon]) - L38</f>
        <v>#DIV/0!</v>
      </c>
      <c r="M39" s="2" t="e">
        <f>AVERAGE(Table71[Alibaba]) - M38</f>
        <v>#DIV/0!</v>
      </c>
      <c r="N39" s="2">
        <f>AVERAGE(Table71[Gson]) - N38</f>
        <v>9422.6666666666661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13219.000000000002</v>
      </c>
      <c r="D40" s="2">
        <f t="shared" si="0"/>
        <v>5429</v>
      </c>
      <c r="E40" s="2">
        <f t="shared" ref="E40" si="1">E41 - E39 - E38</f>
        <v>2037.0000000000005</v>
      </c>
      <c r="F40" s="2">
        <f t="shared" si="0"/>
        <v>10542.999999999998</v>
      </c>
      <c r="G40" s="2">
        <f t="shared" si="0"/>
        <v>7116.3333333333321</v>
      </c>
      <c r="H40" s="2" t="e">
        <f t="shared" si="0"/>
        <v>#DIV/0!</v>
      </c>
      <c r="I40" s="2">
        <f t="shared" ref="I40" si="2">I41 - I39 - I38</f>
        <v>6741</v>
      </c>
      <c r="J40" s="2">
        <f t="shared" ref="J40" si="3">J41 - J39 - J38</f>
        <v>1207.6666666666667</v>
      </c>
      <c r="K40" s="2">
        <f t="shared" ref="K40:L40" si="4">K41 - K39 - K38</f>
        <v>833.33333333333337</v>
      </c>
      <c r="L40" s="2" t="e">
        <f t="shared" si="4"/>
        <v>#DIV/0!</v>
      </c>
      <c r="M40" s="2" t="e">
        <f t="shared" ref="M40" si="5">M41 - M39 - M38</f>
        <v>#DIV/0!</v>
      </c>
      <c r="N40" s="2">
        <f t="shared" ref="N40" si="6">N41 - N39 - N38</f>
        <v>8611.6666666666661</v>
      </c>
      <c r="O40" s="2"/>
      <c r="P40" s="2"/>
      <c r="Q40" s="2"/>
    </row>
    <row r="41" spans="2:17" x14ac:dyDescent="0.25">
      <c r="B41" t="s">
        <v>23</v>
      </c>
      <c r="C41" s="2">
        <f>AVERAGE(Table73[Newtonsoft])</f>
        <v>24795.666666666668</v>
      </c>
      <c r="D41" s="2">
        <f>AVERAGE(Table73[Revenj])</f>
        <v>10645</v>
      </c>
      <c r="E41" s="2">
        <f>AVERAGE(Table73[ProtoBuf (binary reference)])</f>
        <v>5945</v>
      </c>
      <c r="F41" s="2">
        <f>AVERAGE(Table73[Service Stack])</f>
        <v>19410.333333333332</v>
      </c>
      <c r="G41" s="2">
        <f>AVERAGE(Table73[Jil])</f>
        <v>16150.666666666666</v>
      </c>
      <c r="H41" s="2" t="e">
        <f>AVERAGE(Table73[NetJSON])</f>
        <v>#DIV/0!</v>
      </c>
      <c r="I41" s="2">
        <f>AVERAGE(Table73[Jackson])</f>
        <v>8965</v>
      </c>
      <c r="J41" s="2">
        <f>AVERAGE(Table73[DSL-JSON])</f>
        <v>2120</v>
      </c>
      <c r="K41" s="2">
        <f>AVERAGE(Table73[Kryo (binary reference)])</f>
        <v>1706.3333333333333</v>
      </c>
      <c r="L41" s="2" t="e">
        <f>AVERAGE(Table73[Boon])</f>
        <v>#DIV/0!</v>
      </c>
      <c r="M41" s="2" t="e">
        <f>AVERAGE(Table73[Alibaba])</f>
        <v>#DIV/0!</v>
      </c>
      <c r="N41" s="2">
        <f>AVERAGE(Table73[Gson])</f>
        <v>18223.333333333332</v>
      </c>
      <c r="O41" s="2"/>
      <c r="P41" s="2"/>
      <c r="Q41" s="2"/>
    </row>
    <row r="42" spans="2:17" x14ac:dyDescent="0.25">
      <c r="B42" t="s">
        <v>4</v>
      </c>
      <c r="C42" s="3">
        <f>AVERAGE(Table71[Newtonsoft (size)])</f>
        <v>241190228.66666666</v>
      </c>
      <c r="D42" s="3">
        <f>AVERAGE(Table71[Revenj (size)])</f>
        <v>198474556</v>
      </c>
      <c r="E42" s="3">
        <f>AVERAGE(Table71[ProtoBuf (size)])</f>
        <v>79244720</v>
      </c>
      <c r="F42" s="3">
        <f>AVERAGE(Table71[Service Stack (size)])</f>
        <v>192142631</v>
      </c>
      <c r="G42" s="2">
        <f>AVERAGE(Table71[Jil (size)])</f>
        <v>243056893</v>
      </c>
      <c r="H42" s="2" t="e">
        <f>AVERAGE(Table71[NetJSON (size)])</f>
        <v>#DIV/0!</v>
      </c>
      <c r="I42" s="2">
        <f>AVERAGE(Table71[Jackson (size)])</f>
        <v>194475967</v>
      </c>
      <c r="J42" s="2">
        <f>AVERAGE(Table71[DSL-JSON (size)])</f>
        <v>198474556</v>
      </c>
      <c r="K42" s="2">
        <f>AVERAGE(Table71[Kryo (size)])</f>
        <v>74036454</v>
      </c>
      <c r="L42" s="2" t="e">
        <f>AVERAGE(Table71[Boon (size)])</f>
        <v>#DIV/0!</v>
      </c>
      <c r="M42" s="2" t="e">
        <f>AVERAGE(Table71[Alibaba (size)])</f>
        <v>#DIV/0!</v>
      </c>
      <c r="N42" s="2">
        <f>AVERAGE(Table71[Gson (size)])</f>
        <v>194475967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DEVSQ(Table71[Newtonsoft])</f>
        <v>2272.6666666666665</v>
      </c>
      <c r="D47" s="2">
        <f>DEVSQ(Table71[Revenj])</f>
        <v>5334</v>
      </c>
      <c r="E47" s="2">
        <f>DEVSQ(Table71[ProtoBuf (binary reference)])</f>
        <v>504</v>
      </c>
      <c r="F47" s="2">
        <f>DEVSQ(Table71[Service Stack])</f>
        <v>252.66666666666666</v>
      </c>
      <c r="G47" s="2">
        <f>DEVSQ(Table71[Jil])</f>
        <v>492.66666666666674</v>
      </c>
      <c r="H47" s="2" t="e">
        <f>DEVSQ(Table71[NetJSON])</f>
        <v>#NUM!</v>
      </c>
      <c r="I47" s="2">
        <f>DEVSQ(Table71[Jackson])</f>
        <v>4088</v>
      </c>
      <c r="J47" s="2">
        <f>DEVSQ(Table71[DSL-JSON])</f>
        <v>0.66666666666666663</v>
      </c>
      <c r="K47" s="2">
        <f>DEVSQ(Table71[Kryo (binary reference)])</f>
        <v>774</v>
      </c>
      <c r="L47" s="2" t="e">
        <f>DEVSQ(Table71[Boon])</f>
        <v>#NUM!</v>
      </c>
      <c r="M47" s="2" t="e">
        <f>DEVSQ(Table71[Alibaba])</f>
        <v>#NUM!</v>
      </c>
      <c r="N47" s="2">
        <f>DEVSQ(Table71[Gson])</f>
        <v>163388.66666666669</v>
      </c>
      <c r="O47" s="2"/>
      <c r="P47" s="2"/>
      <c r="Q47" s="2"/>
    </row>
    <row r="48" spans="2:17" x14ac:dyDescent="0.25">
      <c r="B48" t="s">
        <v>23</v>
      </c>
      <c r="C48" s="2">
        <f>DEVSQ(Table73[Newtonsoft])</f>
        <v>1442.6666666666665</v>
      </c>
      <c r="D48" s="2">
        <f>DEVSQ(Table73[Revenj])</f>
        <v>5234</v>
      </c>
      <c r="E48" s="2">
        <f>DEVSQ(Table73[ProtoBuf (binary reference)])</f>
        <v>2336</v>
      </c>
      <c r="F48" s="2">
        <f>DEVSQ(Table73[Service Stack])</f>
        <v>1154.6666666666665</v>
      </c>
      <c r="G48" s="2">
        <f>DEVSQ(Table73[Jil])</f>
        <v>3722.6666666666661</v>
      </c>
      <c r="H48" s="2" t="e">
        <f>DEVSQ(Table73[NetJSON])</f>
        <v>#NUM!</v>
      </c>
      <c r="I48" s="2">
        <f>DEVSQ(Table73[Jackson])</f>
        <v>133800</v>
      </c>
      <c r="J48" s="2">
        <f>DEVSQ(Table73[DSL-JSON])</f>
        <v>3296</v>
      </c>
      <c r="K48" s="2">
        <f>DEVSQ(Table73[Kryo (binary reference)])</f>
        <v>1460.6666666666667</v>
      </c>
      <c r="L48" s="2" t="e">
        <f>DEVSQ(Table73[Boon])</f>
        <v>#NUM!</v>
      </c>
      <c r="M48" s="2" t="e">
        <f>DEVSQ(Table73[Alibaba])</f>
        <v>#NUM!</v>
      </c>
      <c r="N48" s="2">
        <f>DEVSQ(Table73[Gson])</f>
        <v>272960.66666666669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2568</v>
      </c>
      <c r="C52">
        <v>2584</v>
      </c>
      <c r="D52">
        <v>2568</v>
      </c>
      <c r="E52">
        <v>2577</v>
      </c>
      <c r="F52">
        <v>2583</v>
      </c>
      <c r="H52">
        <v>197</v>
      </c>
      <c r="I52">
        <v>185</v>
      </c>
      <c r="J52">
        <v>205</v>
      </c>
      <c r="M52">
        <v>188</v>
      </c>
    </row>
    <row r="53" spans="2:25" x14ac:dyDescent="0.25">
      <c r="B53">
        <v>2603</v>
      </c>
      <c r="C53">
        <v>2587</v>
      </c>
      <c r="D53">
        <v>2564</v>
      </c>
      <c r="E53">
        <v>2605</v>
      </c>
      <c r="F53">
        <v>2568</v>
      </c>
      <c r="H53">
        <v>188</v>
      </c>
      <c r="I53">
        <v>190</v>
      </c>
      <c r="J53">
        <v>185</v>
      </c>
      <c r="M53">
        <v>190</v>
      </c>
    </row>
    <row r="54" spans="2:25" x14ac:dyDescent="0.25">
      <c r="B54">
        <v>2595</v>
      </c>
      <c r="C54">
        <v>2579</v>
      </c>
      <c r="D54">
        <v>2606</v>
      </c>
      <c r="E54">
        <v>2600</v>
      </c>
      <c r="F54">
        <v>2566</v>
      </c>
      <c r="H54">
        <v>181</v>
      </c>
      <c r="I54">
        <v>190</v>
      </c>
      <c r="J54">
        <v>185</v>
      </c>
      <c r="M54">
        <v>189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11539</v>
      </c>
      <c r="C58">
        <v>5275</v>
      </c>
      <c r="D58">
        <v>3920</v>
      </c>
      <c r="E58">
        <v>8877</v>
      </c>
      <c r="F58">
        <v>9022</v>
      </c>
      <c r="H58">
        <v>2174</v>
      </c>
      <c r="I58">
        <v>913</v>
      </c>
      <c r="J58">
        <v>870</v>
      </c>
      <c r="M58">
        <v>9596</v>
      </c>
      <c r="N58">
        <v>241523562</v>
      </c>
      <c r="O58">
        <v>198474556</v>
      </c>
      <c r="P58">
        <v>79244720</v>
      </c>
      <c r="Q58">
        <v>192142631</v>
      </c>
      <c r="R58">
        <v>243056893</v>
      </c>
      <c r="T58">
        <v>194475967</v>
      </c>
      <c r="U58">
        <v>198474556</v>
      </c>
      <c r="V58">
        <v>74036454</v>
      </c>
      <c r="Y58">
        <v>194475967</v>
      </c>
    </row>
    <row r="59" spans="2:25" x14ac:dyDescent="0.25">
      <c r="B59">
        <v>11604</v>
      </c>
      <c r="C59">
        <v>5194</v>
      </c>
      <c r="D59">
        <v>3890</v>
      </c>
      <c r="E59">
        <v>8855</v>
      </c>
      <c r="F59">
        <v>9052</v>
      </c>
      <c r="H59">
        <v>2236</v>
      </c>
      <c r="I59">
        <v>912</v>
      </c>
      <c r="J59">
        <v>894</v>
      </c>
      <c r="M59">
        <v>9905</v>
      </c>
      <c r="N59">
        <v>241523562</v>
      </c>
      <c r="O59">
        <v>198474556</v>
      </c>
      <c r="P59">
        <v>79244720</v>
      </c>
      <c r="Q59">
        <v>192142631</v>
      </c>
      <c r="R59">
        <v>243056893</v>
      </c>
      <c r="T59">
        <v>194475967</v>
      </c>
      <c r="U59">
        <v>198474556</v>
      </c>
      <c r="V59">
        <v>74036454</v>
      </c>
      <c r="Y59">
        <v>194475967</v>
      </c>
    </row>
    <row r="60" spans="2:25" x14ac:dyDescent="0.25">
      <c r="B60">
        <v>11587</v>
      </c>
      <c r="C60">
        <v>5179</v>
      </c>
      <c r="D60">
        <v>3914</v>
      </c>
      <c r="E60">
        <v>8870</v>
      </c>
      <c r="F60">
        <v>9029</v>
      </c>
      <c r="H60">
        <v>2262</v>
      </c>
      <c r="I60">
        <v>912</v>
      </c>
      <c r="J60">
        <v>855</v>
      </c>
      <c r="M60">
        <v>9334</v>
      </c>
      <c r="N60">
        <v>240523562</v>
      </c>
      <c r="O60">
        <v>198474556</v>
      </c>
      <c r="P60">
        <v>79244720</v>
      </c>
      <c r="Q60">
        <v>192142631</v>
      </c>
      <c r="R60">
        <v>243056893</v>
      </c>
      <c r="T60">
        <v>194475967</v>
      </c>
      <c r="U60">
        <v>198474556</v>
      </c>
      <c r="V60">
        <v>74036454</v>
      </c>
      <c r="Y60">
        <v>194475967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24765</v>
      </c>
      <c r="C64">
        <v>10613</v>
      </c>
      <c r="D64">
        <v>5909</v>
      </c>
      <c r="E64">
        <v>19387</v>
      </c>
      <c r="F64">
        <v>16200</v>
      </c>
      <c r="H64">
        <v>9015</v>
      </c>
      <c r="I64">
        <v>2112</v>
      </c>
      <c r="J64">
        <v>1696</v>
      </c>
      <c r="M64">
        <v>18351</v>
      </c>
    </row>
    <row r="65" spans="2:13" x14ac:dyDescent="0.25">
      <c r="B65">
        <v>24815</v>
      </c>
      <c r="C65">
        <v>10704</v>
      </c>
      <c r="D65">
        <v>5977</v>
      </c>
      <c r="E65">
        <v>19409</v>
      </c>
      <c r="F65">
        <v>16132</v>
      </c>
      <c r="H65">
        <v>8685</v>
      </c>
      <c r="I65">
        <v>2164</v>
      </c>
      <c r="J65">
        <v>1737</v>
      </c>
      <c r="M65">
        <v>18512</v>
      </c>
    </row>
    <row r="66" spans="2:13" x14ac:dyDescent="0.25">
      <c r="B66">
        <v>24807</v>
      </c>
      <c r="C66">
        <v>10618</v>
      </c>
      <c r="D66">
        <v>5949</v>
      </c>
      <c r="E66">
        <v>19435</v>
      </c>
      <c r="F66">
        <v>16120</v>
      </c>
      <c r="H66">
        <v>9195</v>
      </c>
      <c r="I66">
        <v>2084</v>
      </c>
      <c r="J66">
        <v>1686</v>
      </c>
      <c r="M66">
        <v>17807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49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AVERAGE(Table77[Newtonsoft])</f>
        <v>832.33333333333337</v>
      </c>
      <c r="D38" s="2">
        <f>AVERAGE(Table77[Revenj])</f>
        <v>850.66666666666663</v>
      </c>
      <c r="E38" s="2">
        <f>AVERAGE(Table77[ProtoBuf (binary reference)])</f>
        <v>842.33333333333337</v>
      </c>
      <c r="F38" s="2">
        <f>AVERAGE(Table77[Service Stack])</f>
        <v>826</v>
      </c>
      <c r="G38" s="2">
        <f>AVERAGE(Table77[Jil])</f>
        <v>824.33333333333337</v>
      </c>
      <c r="H38" s="2" t="e">
        <f>AVERAGE(Table77[NetJSON])</f>
        <v>#DIV/0!</v>
      </c>
      <c r="I38" s="2">
        <f>AVERAGE(Table77[Jackson])</f>
        <v>255.33333333333334</v>
      </c>
      <c r="J38" s="2">
        <f>AVERAGE(Table77[DSL-JSON])</f>
        <v>195.33333333333334</v>
      </c>
      <c r="K38" s="2">
        <f>AVERAGE(Table77[Kryo (binary reference)])</f>
        <v>212</v>
      </c>
      <c r="L38" s="2" t="e">
        <f>AVERAGE(Table77[Boon])</f>
        <v>#DIV/0!</v>
      </c>
      <c r="M38" s="2" t="e">
        <f>AVERAGE(Table77[Alibaba])</f>
        <v>#DIV/0!</v>
      </c>
      <c r="N38" s="2">
        <f>AVERAGE(Table77[Gson])</f>
        <v>216.33333333333334</v>
      </c>
      <c r="O38" s="2"/>
      <c r="P38" s="2"/>
      <c r="Q38" s="2"/>
    </row>
    <row r="39" spans="2:17" x14ac:dyDescent="0.25">
      <c r="B39" t="s">
        <v>0</v>
      </c>
      <c r="C39" s="2">
        <f>AVERAGE(Table76[Newtonsoft]) - C38</f>
        <v>2415</v>
      </c>
      <c r="D39" s="2">
        <f>AVERAGE(Table76[Revenj]) - D38</f>
        <v>524.00000000000011</v>
      </c>
      <c r="E39" s="2">
        <f>AVERAGE(Table76[ProtoBuf (binary reference)]) - E38</f>
        <v>365.99999999999989</v>
      </c>
      <c r="F39" s="2">
        <f>AVERAGE(Table76[Service Stack]) - F38</f>
        <v>1948.6666666666665</v>
      </c>
      <c r="G39" s="2">
        <f>AVERAGE(Table76[Jil]) - G38</f>
        <v>1825.333333333333</v>
      </c>
      <c r="H39" s="2" t="e">
        <f>AVERAGE(Table76[NetJSON]) - H38</f>
        <v>#DIV/0!</v>
      </c>
      <c r="I39" s="2">
        <f>AVERAGE(Table76[Jackson]) - I38</f>
        <v>897.99999999999989</v>
      </c>
      <c r="J39" s="2">
        <f>AVERAGE(Table76[DSL-JSON]) - J38</f>
        <v>526.33333333333326</v>
      </c>
      <c r="K39" s="2">
        <f>AVERAGE(Table76[Kryo (binary reference)]) - K38</f>
        <v>291</v>
      </c>
      <c r="L39" s="2" t="e">
        <f>AVERAGE(Table76[Boon]) - L38</f>
        <v>#DIV/0!</v>
      </c>
      <c r="M39" s="2" t="e">
        <f>AVERAGE(Table76[Alibaba]) - M38</f>
        <v>#DIV/0!</v>
      </c>
      <c r="N39" s="2">
        <f>AVERAGE(Table76[Gson]) - N38</f>
        <v>2772.6666666666665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2912.3333333333335</v>
      </c>
      <c r="D40" s="2">
        <f t="shared" si="0"/>
        <v>1114.666666666667</v>
      </c>
      <c r="E40" s="2">
        <f t="shared" ref="E40" si="1">E41 - E39 - E38</f>
        <v>627.66666666666663</v>
      </c>
      <c r="F40" s="2">
        <f t="shared" si="0"/>
        <v>3655.6666666666661</v>
      </c>
      <c r="G40" s="2">
        <f t="shared" si="0"/>
        <v>1623.3333333333335</v>
      </c>
      <c r="H40" s="2" t="e">
        <f t="shared" si="0"/>
        <v>#DIV/0!</v>
      </c>
      <c r="I40" s="2">
        <f t="shared" ref="I40" si="2">I41 - I39 - I38</f>
        <v>1690.6666666666667</v>
      </c>
      <c r="J40" s="2">
        <f t="shared" ref="J40" si="3">J41 - J39 - J38</f>
        <v>232.3333333333334</v>
      </c>
      <c r="K40" s="2">
        <f t="shared" ref="K40:L40" si="4">K41 - K39 - K38</f>
        <v>302</v>
      </c>
      <c r="L40" s="2" t="e">
        <f t="shared" si="4"/>
        <v>#DIV/0!</v>
      </c>
      <c r="M40" s="2" t="e">
        <f t="shared" ref="M40" si="5">M41 - M39 - M38</f>
        <v>#DIV/0!</v>
      </c>
      <c r="N40" s="2">
        <f t="shared" ref="N40" si="6">N41 - N39 - N38</f>
        <v>2318.333333333333</v>
      </c>
      <c r="O40" s="2"/>
      <c r="P40" s="2"/>
      <c r="Q40" s="2"/>
    </row>
    <row r="41" spans="2:17" x14ac:dyDescent="0.25">
      <c r="B41" t="s">
        <v>23</v>
      </c>
      <c r="C41" s="2">
        <f>AVERAGE(Table78[Newtonsoft])</f>
        <v>6159.666666666667</v>
      </c>
      <c r="D41" s="2">
        <f>AVERAGE(Table78[Revenj])</f>
        <v>2489.3333333333335</v>
      </c>
      <c r="E41" s="2">
        <f>AVERAGE(Table78[ProtoBuf (binary reference)])</f>
        <v>1836</v>
      </c>
      <c r="F41" s="2">
        <f>AVERAGE(Table78[Service Stack])</f>
        <v>6430.333333333333</v>
      </c>
      <c r="G41" s="2">
        <f>AVERAGE(Table78[Jil])</f>
        <v>4273</v>
      </c>
      <c r="H41" s="2" t="e">
        <f>AVERAGE(Table78[NetJSON])</f>
        <v>#DIV/0!</v>
      </c>
      <c r="I41" s="2">
        <f>AVERAGE(Table78[Jackson])</f>
        <v>2844</v>
      </c>
      <c r="J41" s="2">
        <f>AVERAGE(Table78[DSL-JSON])</f>
        <v>954</v>
      </c>
      <c r="K41" s="2">
        <f>AVERAGE(Table78[Kryo (binary reference)])</f>
        <v>805</v>
      </c>
      <c r="L41" s="2" t="e">
        <f>AVERAGE(Table78[Boon])</f>
        <v>#DIV/0!</v>
      </c>
      <c r="M41" s="2" t="e">
        <f>AVERAGE(Table78[Alibaba])</f>
        <v>#DIV/0!</v>
      </c>
      <c r="N41" s="2">
        <f>AVERAGE(Table78[Gson])</f>
        <v>5307.333333333333</v>
      </c>
      <c r="O41" s="2"/>
      <c r="P41" s="2"/>
      <c r="Q41" s="2"/>
    </row>
    <row r="42" spans="2:17" x14ac:dyDescent="0.25">
      <c r="B42" t="s">
        <v>4</v>
      </c>
      <c r="C42" s="3">
        <f>AVERAGE(Table76[Newtonsoft (size)])</f>
        <v>84221352</v>
      </c>
      <c r="D42" s="3">
        <f>AVERAGE(Table76[Revenj (size)])</f>
        <v>73494967</v>
      </c>
      <c r="E42" s="3">
        <f>AVERAGE(Table76[ProtoBuf (size)])</f>
        <v>35094918</v>
      </c>
      <c r="F42" s="3">
        <f>AVERAGE(Table76[Service Stack (size)])</f>
        <v>79509317</v>
      </c>
      <c r="G42" s="2">
        <f>AVERAGE(Table76[Jil (size)])</f>
        <v>84298017</v>
      </c>
      <c r="H42" s="2" t="e">
        <f>AVERAGE(Table76[NetJSON (size)])</f>
        <v>#DIV/0!</v>
      </c>
      <c r="I42" s="2">
        <f>AVERAGE(Table76[Jackson (size)])</f>
        <v>73117617</v>
      </c>
      <c r="J42" s="2">
        <f>AVERAGE(Table76[DSL-JSON (size)])</f>
        <v>73494967</v>
      </c>
      <c r="K42" s="2">
        <f>AVERAGE(Table76[Kryo (size)])</f>
        <v>31184505</v>
      </c>
      <c r="L42" s="2" t="e">
        <f>AVERAGE(Table76[Boon (size)])</f>
        <v>#DIV/0!</v>
      </c>
      <c r="M42" s="2" t="e">
        <f>AVERAGE(Table76[Alibaba (size)])</f>
        <v>#DIV/0!</v>
      </c>
      <c r="N42" s="2">
        <f>AVERAGE(Table76[Gson (size)])</f>
        <v>73117617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DEVSQ(Table76[Newtonsoft])</f>
        <v>66.666666666666671</v>
      </c>
      <c r="D47" s="2">
        <f>DEVSQ(Table76[Revenj])</f>
        <v>4.666666666666667</v>
      </c>
      <c r="E47" s="2">
        <f>DEVSQ(Table76[ProtoBuf (binary reference)])</f>
        <v>10.666666666666668</v>
      </c>
      <c r="F47" s="2">
        <f>DEVSQ(Table76[Service Stack])</f>
        <v>50.666666666666671</v>
      </c>
      <c r="G47" s="2">
        <f>DEVSQ(Table76[Jil])</f>
        <v>16.666666666666664</v>
      </c>
      <c r="H47" s="2" t="e">
        <f>DEVSQ(Table76[NetJSON])</f>
        <v>#NUM!</v>
      </c>
      <c r="I47" s="2">
        <f>DEVSQ(Table76[Jackson])</f>
        <v>1298.6666666666667</v>
      </c>
      <c r="J47" s="2">
        <f>DEVSQ(Table76[DSL-JSON])</f>
        <v>36208.666666666664</v>
      </c>
      <c r="K47" s="2">
        <f>DEVSQ(Table76[Kryo (binary reference)])</f>
        <v>2342</v>
      </c>
      <c r="L47" s="2" t="e">
        <f>DEVSQ(Table76[Boon])</f>
        <v>#NUM!</v>
      </c>
      <c r="M47" s="2" t="e">
        <f>DEVSQ(Table76[Alibaba])</f>
        <v>#NUM!</v>
      </c>
      <c r="N47" s="2">
        <f>DEVSQ(Table76[Gson])</f>
        <v>7178</v>
      </c>
      <c r="O47" s="2"/>
      <c r="P47" s="2"/>
      <c r="Q47" s="2"/>
    </row>
    <row r="48" spans="2:17" x14ac:dyDescent="0.25">
      <c r="B48" t="s">
        <v>23</v>
      </c>
      <c r="C48" s="2">
        <f>DEVSQ(Table78[Newtonsoft])</f>
        <v>488.66666666666669</v>
      </c>
      <c r="D48" s="2">
        <f>DEVSQ(Table78[Revenj])</f>
        <v>1698.6666666666667</v>
      </c>
      <c r="E48" s="2">
        <f>DEVSQ(Table78[ProtoBuf (binary reference)])</f>
        <v>8</v>
      </c>
      <c r="F48" s="2">
        <f>DEVSQ(Table78[Service Stack])</f>
        <v>522.66666666666674</v>
      </c>
      <c r="G48" s="2">
        <f>DEVSQ(Table78[Jil])</f>
        <v>1046</v>
      </c>
      <c r="H48" s="2" t="e">
        <f>DEVSQ(Table78[NetJSON])</f>
        <v>#NUM!</v>
      </c>
      <c r="I48" s="2">
        <f>DEVSQ(Table78[Jackson])</f>
        <v>7658</v>
      </c>
      <c r="J48" s="2">
        <f>DEVSQ(Table78[DSL-JSON])</f>
        <v>2546</v>
      </c>
      <c r="K48" s="2">
        <f>DEVSQ(Table78[Kryo (binary reference)])</f>
        <v>1634</v>
      </c>
      <c r="L48" s="2" t="e">
        <f>DEVSQ(Table78[Boon])</f>
        <v>#NUM!</v>
      </c>
      <c r="M48" s="2" t="e">
        <f>DEVSQ(Table78[Alibaba])</f>
        <v>#NUM!</v>
      </c>
      <c r="N48" s="2">
        <f>DEVSQ(Table78[Gson])</f>
        <v>59672.666666666664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829</v>
      </c>
      <c r="C52">
        <v>844</v>
      </c>
      <c r="D52">
        <v>844</v>
      </c>
      <c r="E52">
        <v>826</v>
      </c>
      <c r="F52">
        <v>827</v>
      </c>
      <c r="H52">
        <v>296</v>
      </c>
      <c r="I52">
        <v>202</v>
      </c>
      <c r="J52">
        <v>206</v>
      </c>
      <c r="M52">
        <v>224</v>
      </c>
    </row>
    <row r="53" spans="2:25" x14ac:dyDescent="0.25">
      <c r="B53">
        <v>834</v>
      </c>
      <c r="C53">
        <v>846</v>
      </c>
      <c r="D53">
        <v>840</v>
      </c>
      <c r="E53">
        <v>828</v>
      </c>
      <c r="F53">
        <v>822</v>
      </c>
      <c r="H53">
        <v>264</v>
      </c>
      <c r="I53">
        <v>190</v>
      </c>
      <c r="J53">
        <v>219</v>
      </c>
      <c r="M53">
        <v>213</v>
      </c>
    </row>
    <row r="54" spans="2:25" x14ac:dyDescent="0.25">
      <c r="B54">
        <v>834</v>
      </c>
      <c r="C54">
        <v>862</v>
      </c>
      <c r="D54">
        <v>843</v>
      </c>
      <c r="E54">
        <v>824</v>
      </c>
      <c r="F54">
        <v>824</v>
      </c>
      <c r="H54">
        <v>206</v>
      </c>
      <c r="I54">
        <v>194</v>
      </c>
      <c r="J54">
        <v>211</v>
      </c>
      <c r="M54">
        <v>212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3244</v>
      </c>
      <c r="C58">
        <v>1373</v>
      </c>
      <c r="D58">
        <v>1207</v>
      </c>
      <c r="E58">
        <v>2774</v>
      </c>
      <c r="F58">
        <v>2653</v>
      </c>
      <c r="H58">
        <v>1170</v>
      </c>
      <c r="I58">
        <v>660</v>
      </c>
      <c r="J58">
        <v>478</v>
      </c>
      <c r="M58">
        <v>2977</v>
      </c>
      <c r="N58">
        <v>84221352</v>
      </c>
      <c r="O58">
        <v>73494967</v>
      </c>
      <c r="P58">
        <v>35094918</v>
      </c>
      <c r="Q58">
        <v>79509317</v>
      </c>
      <c r="R58">
        <v>84298017</v>
      </c>
      <c r="T58">
        <v>73117617</v>
      </c>
      <c r="U58">
        <v>73494967</v>
      </c>
      <c r="V58">
        <v>31184505</v>
      </c>
      <c r="Y58">
        <v>73117617</v>
      </c>
    </row>
    <row r="59" spans="2:25" x14ac:dyDescent="0.25">
      <c r="B59">
        <v>3254</v>
      </c>
      <c r="C59">
        <v>1376</v>
      </c>
      <c r="D59">
        <v>1211</v>
      </c>
      <c r="E59">
        <v>2770</v>
      </c>
      <c r="F59">
        <v>2648</v>
      </c>
      <c r="H59">
        <v>1124</v>
      </c>
      <c r="I59">
        <v>629</v>
      </c>
      <c r="J59">
        <v>542</v>
      </c>
      <c r="M59">
        <v>2936</v>
      </c>
      <c r="N59">
        <v>84221352</v>
      </c>
      <c r="O59">
        <v>73494967</v>
      </c>
      <c r="P59">
        <v>35094918</v>
      </c>
      <c r="Q59">
        <v>79509317</v>
      </c>
      <c r="R59">
        <v>84298017</v>
      </c>
      <c r="T59">
        <v>73117617</v>
      </c>
      <c r="U59">
        <v>73494967</v>
      </c>
      <c r="V59">
        <v>31184505</v>
      </c>
      <c r="Y59">
        <v>73117617</v>
      </c>
    </row>
    <row r="60" spans="2:25" x14ac:dyDescent="0.25">
      <c r="B60">
        <v>3244</v>
      </c>
      <c r="C60">
        <v>1375</v>
      </c>
      <c r="D60">
        <v>1207</v>
      </c>
      <c r="E60">
        <v>2780</v>
      </c>
      <c r="F60">
        <v>2648</v>
      </c>
      <c r="H60">
        <v>1166</v>
      </c>
      <c r="I60">
        <v>876</v>
      </c>
      <c r="J60">
        <v>489</v>
      </c>
      <c r="M60">
        <v>3054</v>
      </c>
      <c r="N60">
        <v>84221352</v>
      </c>
      <c r="O60">
        <v>73494967</v>
      </c>
      <c r="P60">
        <v>35094918</v>
      </c>
      <c r="Q60">
        <v>79509317</v>
      </c>
      <c r="R60">
        <v>84298017</v>
      </c>
      <c r="T60">
        <v>73117617</v>
      </c>
      <c r="U60">
        <v>73494967</v>
      </c>
      <c r="V60">
        <v>31184505</v>
      </c>
      <c r="Y60">
        <v>73117617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6162</v>
      </c>
      <c r="C64">
        <v>2480</v>
      </c>
      <c r="D64">
        <v>1836</v>
      </c>
      <c r="E64">
        <v>6433</v>
      </c>
      <c r="F64">
        <v>4282</v>
      </c>
      <c r="H64">
        <v>2832</v>
      </c>
      <c r="I64">
        <v>993</v>
      </c>
      <c r="J64">
        <v>814</v>
      </c>
      <c r="M64">
        <v>5243</v>
      </c>
    </row>
    <row r="65" spans="2:13" x14ac:dyDescent="0.25">
      <c r="B65">
        <v>6174</v>
      </c>
      <c r="C65">
        <v>2466</v>
      </c>
      <c r="D65">
        <v>1838</v>
      </c>
      <c r="E65">
        <v>6445</v>
      </c>
      <c r="F65">
        <v>4290</v>
      </c>
      <c r="H65">
        <v>2911</v>
      </c>
      <c r="I65">
        <v>923</v>
      </c>
      <c r="J65">
        <v>773</v>
      </c>
      <c r="M65">
        <v>5503</v>
      </c>
    </row>
    <row r="66" spans="2:13" x14ac:dyDescent="0.25">
      <c r="B66">
        <v>6143</v>
      </c>
      <c r="C66">
        <v>2522</v>
      </c>
      <c r="D66">
        <v>1834</v>
      </c>
      <c r="E66">
        <v>6413</v>
      </c>
      <c r="F66">
        <v>4247</v>
      </c>
      <c r="H66">
        <v>2789</v>
      </c>
      <c r="I66">
        <v>946</v>
      </c>
      <c r="J66">
        <v>828</v>
      </c>
      <c r="M66">
        <v>5176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50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AVERAGE(Table82[Newtonsoft])</f>
        <v>8231.3333333333339</v>
      </c>
      <c r="D38" s="2">
        <f>AVERAGE(Table82[Revenj])</f>
        <v>8449.3333333333339</v>
      </c>
      <c r="E38" s="2">
        <f>AVERAGE(Table82[ProtoBuf (binary reference)])</f>
        <v>8408.3333333333339</v>
      </c>
      <c r="F38" s="2">
        <f>AVERAGE(Table82[Service Stack])</f>
        <v>8143.333333333333</v>
      </c>
      <c r="G38" s="2">
        <f>AVERAGE(Table82[Jil])</f>
        <v>8197.6666666666661</v>
      </c>
      <c r="H38" s="2" t="e">
        <f>AVERAGE(Table82[NetJSON])</f>
        <v>#DIV/0!</v>
      </c>
      <c r="I38" s="2">
        <f>AVERAGE(Table82[Jackson])</f>
        <v>1248.6666666666667</v>
      </c>
      <c r="J38" s="2">
        <f>AVERAGE(Table82[DSL-JSON])</f>
        <v>1308.6666666666667</v>
      </c>
      <c r="K38" s="2">
        <f>AVERAGE(Table82[Kryo (binary reference)])</f>
        <v>1259.3333333333333</v>
      </c>
      <c r="L38" s="2" t="e">
        <f>AVERAGE(Table82[Boon])</f>
        <v>#DIV/0!</v>
      </c>
      <c r="M38" s="2" t="e">
        <f>AVERAGE(Table82[Alibaba])</f>
        <v>#DIV/0!</v>
      </c>
      <c r="N38" s="2">
        <f>AVERAGE(Table82[Gson])</f>
        <v>1241.6666666666667</v>
      </c>
      <c r="O38" s="2"/>
      <c r="P38" s="2"/>
      <c r="Q38" s="2"/>
    </row>
    <row r="39" spans="2:17" x14ac:dyDescent="0.25">
      <c r="B39" t="s">
        <v>0</v>
      </c>
      <c r="C39" s="2">
        <f>AVERAGE(Table81[Newtonsoft]) - C38</f>
        <v>24135.666666666664</v>
      </c>
      <c r="D39" s="2">
        <f>AVERAGE(Table81[Revenj]) - D38</f>
        <v>5083.3333333333321</v>
      </c>
      <c r="E39" s="2">
        <f>AVERAGE(Table81[ProtoBuf (binary reference)]) - E38</f>
        <v>3415</v>
      </c>
      <c r="F39" s="2">
        <f>AVERAGE(Table81[Service Stack]) - F38</f>
        <v>19105.666666666668</v>
      </c>
      <c r="G39" s="2">
        <f>AVERAGE(Table81[Jil]) - G38</f>
        <v>17655</v>
      </c>
      <c r="H39" s="2" t="e">
        <f>AVERAGE(Table81[NetJSON]) - H38</f>
        <v>#DIV/0!</v>
      </c>
      <c r="I39" s="2">
        <f>AVERAGE(Table81[Jackson]) - I38</f>
        <v>6999.9999999999991</v>
      </c>
      <c r="J39" s="2">
        <f>AVERAGE(Table81[DSL-JSON]) - J38</f>
        <v>2291</v>
      </c>
      <c r="K39" s="2">
        <f>AVERAGE(Table81[Kryo (binary reference)]) - K38</f>
        <v>1869.6666666666667</v>
      </c>
      <c r="L39" s="2" t="e">
        <f>AVERAGE(Table81[Boon]) - L38</f>
        <v>#DIV/0!</v>
      </c>
      <c r="M39" s="2" t="e">
        <f>AVERAGE(Table81[Alibaba]) - M38</f>
        <v>#DIV/0!</v>
      </c>
      <c r="N39" s="2">
        <f>AVERAGE(Table81[Gson]) - N38</f>
        <v>24288.333333333332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28572.666666666664</v>
      </c>
      <c r="D40" s="2">
        <f t="shared" si="0"/>
        <v>10661.333333333334</v>
      </c>
      <c r="E40" s="2">
        <f t="shared" ref="E40" si="1">E41 - E39 - E38</f>
        <v>6141.9999999999982</v>
      </c>
      <c r="F40" s="2">
        <f t="shared" si="0"/>
        <v>37015.666666666664</v>
      </c>
      <c r="G40" s="2">
        <f t="shared" si="0"/>
        <v>15430.999999999998</v>
      </c>
      <c r="H40" s="2" t="e">
        <f t="shared" si="0"/>
        <v>#DIV/0!</v>
      </c>
      <c r="I40" s="2">
        <f t="shared" ref="I40" si="2">I41 - I39 - I38</f>
        <v>15830.666666666666</v>
      </c>
      <c r="J40" s="2">
        <f t="shared" ref="J40" si="3">J41 - J39 - J38</f>
        <v>2728</v>
      </c>
      <c r="K40" s="2">
        <f t="shared" ref="K40:L40" si="4">K41 - K39 - K38</f>
        <v>2393</v>
      </c>
      <c r="L40" s="2" t="e">
        <f t="shared" si="4"/>
        <v>#DIV/0!</v>
      </c>
      <c r="M40" s="2" t="e">
        <f t="shared" ref="M40" si="5">M41 - M39 - M38</f>
        <v>#DIV/0!</v>
      </c>
      <c r="N40" s="2">
        <f t="shared" ref="N40" si="6">N41 - N39 - N38</f>
        <v>19640.333333333336</v>
      </c>
      <c r="O40" s="2"/>
      <c r="P40" s="2"/>
      <c r="Q40" s="2"/>
    </row>
    <row r="41" spans="2:17" x14ac:dyDescent="0.25">
      <c r="B41" t="s">
        <v>23</v>
      </c>
      <c r="C41" s="2">
        <f>AVERAGE(Table83[Newtonsoft])</f>
        <v>60939.666666666664</v>
      </c>
      <c r="D41" s="2">
        <f>AVERAGE(Table83[Revenj])</f>
        <v>24194</v>
      </c>
      <c r="E41" s="2">
        <f>AVERAGE(Table83[ProtoBuf (binary reference)])</f>
        <v>17965.333333333332</v>
      </c>
      <c r="F41" s="2">
        <f>AVERAGE(Table83[Service Stack])</f>
        <v>64264.666666666664</v>
      </c>
      <c r="G41" s="2">
        <f>AVERAGE(Table83[Jil])</f>
        <v>41283.666666666664</v>
      </c>
      <c r="H41" s="2" t="e">
        <f>AVERAGE(Table83[NetJSON])</f>
        <v>#DIV/0!</v>
      </c>
      <c r="I41" s="2">
        <f>AVERAGE(Table83[Jackson])</f>
        <v>24079.333333333332</v>
      </c>
      <c r="J41" s="2">
        <f>AVERAGE(Table83[DSL-JSON])</f>
        <v>6327.666666666667</v>
      </c>
      <c r="K41" s="2">
        <f>AVERAGE(Table83[Kryo (binary reference)])</f>
        <v>5522</v>
      </c>
      <c r="L41" s="2" t="e">
        <f>AVERAGE(Table83[Boon])</f>
        <v>#DIV/0!</v>
      </c>
      <c r="M41" s="2" t="e">
        <f>AVERAGE(Table83[Alibaba])</f>
        <v>#DIV/0!</v>
      </c>
      <c r="N41" s="2">
        <f>AVERAGE(Table83[Gson])</f>
        <v>45170.333333333336</v>
      </c>
      <c r="O41" s="2"/>
      <c r="P41" s="2"/>
      <c r="Q41" s="2"/>
    </row>
    <row r="42" spans="2:17" x14ac:dyDescent="0.25">
      <c r="B42" t="s">
        <v>4</v>
      </c>
      <c r="C42" s="3">
        <f>AVERAGE(Table81[Newtonsoft (size)])</f>
        <v>852604452</v>
      </c>
      <c r="D42" s="3">
        <f>AVERAGE(Table81[Revenj (size)])</f>
        <v>745341367</v>
      </c>
      <c r="E42" s="3">
        <f>AVERAGE(Table81[ProtoBuf (size)])</f>
        <v>361164198</v>
      </c>
      <c r="F42" s="3">
        <f>AVERAGE(Table81[Service Stack (size)])</f>
        <v>805544996</v>
      </c>
      <c r="G42" s="2">
        <f>AVERAGE(Table81[Jil (size)])</f>
        <v>853371117</v>
      </c>
      <c r="H42" s="2" t="e">
        <f>AVERAGE(Table81[NetJSON (size)])</f>
        <v>#DIV/0!</v>
      </c>
      <c r="I42" s="2">
        <f>AVERAGE(Table81[Jackson (size)])</f>
        <v>741567117</v>
      </c>
      <c r="J42" s="2">
        <f>AVERAGE(Table81[DSL-JSON (size)])</f>
        <v>745341367</v>
      </c>
      <c r="K42" s="2">
        <f>AVERAGE(Table81[Kryo (size)])</f>
        <v>322172245</v>
      </c>
      <c r="L42" s="2" t="e">
        <f>AVERAGE(Table81[Boon (size)])</f>
        <v>#DIV/0!</v>
      </c>
      <c r="M42" s="2" t="e">
        <f>AVERAGE(Table81[Alibaba (size)])</f>
        <v>#DIV/0!</v>
      </c>
      <c r="N42" s="2">
        <f>AVERAGE(Table81[Gson (size)])</f>
        <v>741567117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DEVSQ(Table81[Newtonsoft])</f>
        <v>650696</v>
      </c>
      <c r="D47" s="2">
        <f>DEVSQ(Table81[Revenj])</f>
        <v>14242.666666666666</v>
      </c>
      <c r="E47" s="2">
        <f>DEVSQ(Table81[ProtoBuf (binary reference)])</f>
        <v>1418.6666666666667</v>
      </c>
      <c r="F47" s="2">
        <f>DEVSQ(Table81[Service Stack])</f>
        <v>115458</v>
      </c>
      <c r="G47" s="2">
        <f>DEVSQ(Table81[Jil])</f>
        <v>4464.666666666667</v>
      </c>
      <c r="H47" s="2" t="e">
        <f>DEVSQ(Table81[NetJSON])</f>
        <v>#NUM!</v>
      </c>
      <c r="I47" s="2">
        <f>DEVSQ(Table81[Jackson])</f>
        <v>143428.66666666669</v>
      </c>
      <c r="J47" s="2">
        <f>DEVSQ(Table81[DSL-JSON])</f>
        <v>31490.666666666668</v>
      </c>
      <c r="K47" s="2">
        <f>DEVSQ(Table81[Kryo (binary reference)])</f>
        <v>8664</v>
      </c>
      <c r="L47" s="2" t="e">
        <f>DEVSQ(Table81[Boon])</f>
        <v>#NUM!</v>
      </c>
      <c r="M47" s="2" t="e">
        <f>DEVSQ(Table81[Alibaba])</f>
        <v>#NUM!</v>
      </c>
      <c r="N47" s="2">
        <f>DEVSQ(Table81[Gson])</f>
        <v>338846</v>
      </c>
      <c r="O47" s="2"/>
      <c r="P47" s="2"/>
      <c r="Q47" s="2"/>
    </row>
    <row r="48" spans="2:17" x14ac:dyDescent="0.25">
      <c r="B48" t="s">
        <v>23</v>
      </c>
      <c r="C48" s="2">
        <f>DEVSQ(Table83[Newtonsoft])</f>
        <v>24116.666666666668</v>
      </c>
      <c r="D48" s="2">
        <f>DEVSQ(Table83[Revenj])</f>
        <v>4578</v>
      </c>
      <c r="E48" s="2">
        <f>DEVSQ(Table83[ProtoBuf (binary reference)])</f>
        <v>12628.666666666664</v>
      </c>
      <c r="F48" s="2">
        <f>DEVSQ(Table83[Service Stack])</f>
        <v>16108.666666666668</v>
      </c>
      <c r="G48" s="2">
        <f>DEVSQ(Table83[Jil])</f>
        <v>23188.666666666668</v>
      </c>
      <c r="H48" s="2" t="e">
        <f>DEVSQ(Table83[NetJSON])</f>
        <v>#NUM!</v>
      </c>
      <c r="I48" s="2">
        <f>DEVSQ(Table83[Jackson])</f>
        <v>26200.666666666664</v>
      </c>
      <c r="J48" s="2">
        <f>DEVSQ(Table83[DSL-JSON])</f>
        <v>992.66666666666652</v>
      </c>
      <c r="K48" s="2">
        <f>DEVSQ(Table83[Kryo (binary reference)])</f>
        <v>4064</v>
      </c>
      <c r="L48" s="2" t="e">
        <f>DEVSQ(Table83[Boon])</f>
        <v>#NUM!</v>
      </c>
      <c r="M48" s="2" t="e">
        <f>DEVSQ(Table83[Alibaba])</f>
        <v>#NUM!</v>
      </c>
      <c r="N48" s="2">
        <f>DEVSQ(Table83[Gson])</f>
        <v>1026370.6666666666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8216</v>
      </c>
      <c r="C52">
        <v>8359</v>
      </c>
      <c r="D52">
        <v>8386</v>
      </c>
      <c r="E52">
        <v>8154</v>
      </c>
      <c r="F52">
        <v>8122</v>
      </c>
      <c r="H52">
        <v>1272</v>
      </c>
      <c r="I52">
        <v>1337</v>
      </c>
      <c r="J52">
        <v>1269</v>
      </c>
      <c r="M52">
        <v>1255</v>
      </c>
    </row>
    <row r="53" spans="2:25" x14ac:dyDescent="0.25">
      <c r="B53">
        <v>8213</v>
      </c>
      <c r="C53">
        <v>8512</v>
      </c>
      <c r="D53">
        <v>8338</v>
      </c>
      <c r="E53">
        <v>8164</v>
      </c>
      <c r="F53">
        <v>8104</v>
      </c>
      <c r="H53">
        <v>1256</v>
      </c>
      <c r="I53">
        <v>1288</v>
      </c>
      <c r="J53">
        <v>1263</v>
      </c>
      <c r="M53">
        <v>1250</v>
      </c>
    </row>
    <row r="54" spans="2:25" x14ac:dyDescent="0.25">
      <c r="B54">
        <v>8265</v>
      </c>
      <c r="C54">
        <v>8477</v>
      </c>
      <c r="D54">
        <v>8501</v>
      </c>
      <c r="E54">
        <v>8112</v>
      </c>
      <c r="F54">
        <v>8367</v>
      </c>
      <c r="H54">
        <v>1218</v>
      </c>
      <c r="I54">
        <v>1301</v>
      </c>
      <c r="J54">
        <v>1246</v>
      </c>
      <c r="M54">
        <v>1220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32013</v>
      </c>
      <c r="C58">
        <v>13630</v>
      </c>
      <c r="D58">
        <v>11806</v>
      </c>
      <c r="E58">
        <v>27526</v>
      </c>
      <c r="F58">
        <v>25888</v>
      </c>
      <c r="H58">
        <v>8361</v>
      </c>
      <c r="I58">
        <v>3679</v>
      </c>
      <c r="J58">
        <v>3055</v>
      </c>
      <c r="M58">
        <v>25089</v>
      </c>
      <c r="N58">
        <v>852604452</v>
      </c>
      <c r="O58">
        <v>745341367</v>
      </c>
      <c r="P58">
        <v>361164198</v>
      </c>
      <c r="Q58">
        <v>805544996</v>
      </c>
      <c r="R58">
        <v>853371117</v>
      </c>
      <c r="T58">
        <v>741567117</v>
      </c>
      <c r="U58">
        <v>745341367</v>
      </c>
      <c r="V58">
        <v>322172245</v>
      </c>
      <c r="Y58">
        <v>741567117</v>
      </c>
    </row>
    <row r="59" spans="2:25" x14ac:dyDescent="0.25">
      <c r="B59">
        <v>32063</v>
      </c>
      <c r="C59">
        <v>13488</v>
      </c>
      <c r="D59">
        <v>11854</v>
      </c>
      <c r="E59">
        <v>27124</v>
      </c>
      <c r="F59">
        <v>25799</v>
      </c>
      <c r="H59">
        <v>7943</v>
      </c>
      <c r="I59">
        <v>3455</v>
      </c>
      <c r="J59">
        <v>3151</v>
      </c>
      <c r="M59">
        <v>25904</v>
      </c>
      <c r="N59">
        <v>852604452</v>
      </c>
      <c r="O59">
        <v>745341367</v>
      </c>
      <c r="P59">
        <v>361164198</v>
      </c>
      <c r="Q59">
        <v>805544996</v>
      </c>
      <c r="R59">
        <v>853371117</v>
      </c>
      <c r="T59">
        <v>741567117</v>
      </c>
      <c r="U59">
        <v>745341367</v>
      </c>
      <c r="V59">
        <v>322172245</v>
      </c>
      <c r="Y59">
        <v>741567117</v>
      </c>
    </row>
    <row r="60" spans="2:25" x14ac:dyDescent="0.25">
      <c r="B60">
        <v>33025</v>
      </c>
      <c r="C60">
        <v>13480</v>
      </c>
      <c r="D60">
        <v>11810</v>
      </c>
      <c r="E60">
        <v>27097</v>
      </c>
      <c r="F60">
        <v>25871</v>
      </c>
      <c r="H60">
        <v>8442</v>
      </c>
      <c r="I60">
        <v>3665</v>
      </c>
      <c r="J60">
        <v>3181</v>
      </c>
      <c r="M60">
        <v>25597</v>
      </c>
      <c r="N60">
        <v>852604452</v>
      </c>
      <c r="O60">
        <v>745341367</v>
      </c>
      <c r="P60">
        <v>361164198</v>
      </c>
      <c r="Q60">
        <v>805544996</v>
      </c>
      <c r="R60">
        <v>853371117</v>
      </c>
      <c r="T60">
        <v>741567117</v>
      </c>
      <c r="U60">
        <v>745341367</v>
      </c>
      <c r="V60">
        <v>322172245</v>
      </c>
      <c r="Y60">
        <v>741567117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60813</v>
      </c>
      <c r="C64">
        <v>24247</v>
      </c>
      <c r="D64">
        <v>18057</v>
      </c>
      <c r="E64">
        <v>64358</v>
      </c>
      <c r="F64">
        <v>41222</v>
      </c>
      <c r="H64">
        <v>24055</v>
      </c>
      <c r="I64">
        <v>6342</v>
      </c>
      <c r="J64">
        <v>5546</v>
      </c>
      <c r="M64">
        <v>44345</v>
      </c>
    </row>
    <row r="65" spans="2:13" x14ac:dyDescent="0.25">
      <c r="B65">
        <v>60998</v>
      </c>
      <c r="C65">
        <v>24154</v>
      </c>
      <c r="D65">
        <v>17916</v>
      </c>
      <c r="E65">
        <v>64179</v>
      </c>
      <c r="F65">
        <v>41408</v>
      </c>
      <c r="H65">
        <v>24204</v>
      </c>
      <c r="I65">
        <v>6302</v>
      </c>
      <c r="J65">
        <v>5470</v>
      </c>
      <c r="M65">
        <v>45535</v>
      </c>
    </row>
    <row r="66" spans="2:13" x14ac:dyDescent="0.25">
      <c r="B66">
        <v>61008</v>
      </c>
      <c r="C66">
        <v>24181</v>
      </c>
      <c r="D66">
        <v>17923</v>
      </c>
      <c r="E66">
        <v>64257</v>
      </c>
      <c r="F66">
        <v>41221</v>
      </c>
      <c r="H66">
        <v>23979</v>
      </c>
      <c r="I66">
        <v>6339</v>
      </c>
      <c r="J66">
        <v>5550</v>
      </c>
      <c r="M66">
        <v>45631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51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AVERAGE(Table87[Newtonsoft])</f>
        <v>79666.333333333328</v>
      </c>
      <c r="D38" s="2">
        <f>AVERAGE(Table87[Revenj])</f>
        <v>81494.666666666672</v>
      </c>
      <c r="E38" s="2">
        <f>AVERAGE(Table87[ProtoBuf (binary reference)])</f>
        <v>81741.666666666672</v>
      </c>
      <c r="F38" s="2">
        <f>AVERAGE(Table87[Service Stack])</f>
        <v>80471.666666666672</v>
      </c>
      <c r="G38" s="2">
        <f>AVERAGE(Table87[Jil])</f>
        <v>80146.333333333328</v>
      </c>
      <c r="H38" s="2" t="e">
        <f>AVERAGE(Table87[NetJSON])</f>
        <v>#DIV/0!</v>
      </c>
      <c r="I38" s="2">
        <f>AVERAGE(Table87[Jackson])</f>
        <v>11091</v>
      </c>
      <c r="J38" s="2">
        <f>AVERAGE(Table87[DSL-JSON])</f>
        <v>11074</v>
      </c>
      <c r="K38" s="2">
        <f>AVERAGE(Table87[Kryo (binary reference)])</f>
        <v>11183.333333333334</v>
      </c>
      <c r="L38" s="2" t="e">
        <f>AVERAGE(Table87[Boon])</f>
        <v>#DIV/0!</v>
      </c>
      <c r="M38" s="2" t="e">
        <f>AVERAGE(Table87[Alibaba])</f>
        <v>#DIV/0!</v>
      </c>
      <c r="N38" s="2">
        <f>AVERAGE(Table87[Gson])</f>
        <v>11427.666666666666</v>
      </c>
      <c r="O38" s="2"/>
      <c r="P38" s="2"/>
      <c r="Q38" s="2"/>
    </row>
    <row r="39" spans="2:17" x14ac:dyDescent="0.25">
      <c r="B39" t="s">
        <v>0</v>
      </c>
      <c r="C39" s="2">
        <f>AVERAGE(Table86[Newtonsoft]) - C38</f>
        <v>238534.66666666669</v>
      </c>
      <c r="D39" s="2">
        <f>AVERAGE(Table86[Revenj]) - D38</f>
        <v>52655.999999999985</v>
      </c>
      <c r="E39" s="2">
        <f>AVERAGE(Table86[ProtoBuf (binary reference)]) - E38</f>
        <v>35313</v>
      </c>
      <c r="F39" s="2">
        <f>AVERAGE(Table86[Service Stack]) - F38</f>
        <v>191541.66666666663</v>
      </c>
      <c r="G39" s="2">
        <f>AVERAGE(Table86[Jil]) - G38</f>
        <v>177506.66666666669</v>
      </c>
      <c r="H39" s="2" t="e">
        <f>AVERAGE(Table86[NetJSON]) - H38</f>
        <v>#DIV/0!</v>
      </c>
      <c r="I39" s="2">
        <f>AVERAGE(Table86[Jackson]) - I38</f>
        <v>68365</v>
      </c>
      <c r="J39" s="2">
        <f>AVERAGE(Table86[DSL-JSON]) - J38</f>
        <v>21977.666666666664</v>
      </c>
      <c r="K39" s="2">
        <f>AVERAGE(Table86[Kryo (binary reference)]) - K38</f>
        <v>18312</v>
      </c>
      <c r="L39" s="2" t="e">
        <f>AVERAGE(Table86[Boon]) - L38</f>
        <v>#DIV/0!</v>
      </c>
      <c r="M39" s="2" t="e">
        <f>AVERAGE(Table86[Alibaba]) - M38</f>
        <v>#DIV/0!</v>
      </c>
      <c r="N39" s="2">
        <f>AVERAGE(Table86[Gson]) - N38</f>
        <v>242300.66666666669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291349</v>
      </c>
      <c r="D40" s="2">
        <f t="shared" si="0"/>
        <v>107601.6666666667</v>
      </c>
      <c r="E40" s="2">
        <f t="shared" ref="E40" si="1">E41 - E39 - E38</f>
        <v>60825.333333333328</v>
      </c>
      <c r="F40" s="2">
        <f t="shared" si="0"/>
        <v>370941.33333333331</v>
      </c>
      <c r="G40" s="2">
        <f t="shared" si="0"/>
        <v>156733</v>
      </c>
      <c r="H40" s="2" t="e">
        <f t="shared" si="0"/>
        <v>#DIV/0!</v>
      </c>
      <c r="I40" s="2">
        <f t="shared" ref="I40" si="2">I41 - I39 - I38</f>
        <v>157059.66666666666</v>
      </c>
      <c r="J40" s="2">
        <f t="shared" ref="J40" si="3">J41 - J39 - J38</f>
        <v>27335.666666666672</v>
      </c>
      <c r="K40" s="2">
        <f t="shared" ref="K40:L40" si="4">K41 - K39 - K38</f>
        <v>23429.666666666664</v>
      </c>
      <c r="L40" s="2" t="e">
        <f t="shared" si="4"/>
        <v>#DIV/0!</v>
      </c>
      <c r="M40" s="2" t="e">
        <f t="shared" ref="M40" si="5">M41 - M39 - M38</f>
        <v>#DIV/0!</v>
      </c>
      <c r="N40" s="2">
        <f t="shared" ref="N40" si="6">N41 - N39 - N38</f>
        <v>196712.66666666666</v>
      </c>
      <c r="O40" s="2"/>
      <c r="P40" s="2"/>
      <c r="Q40" s="2"/>
    </row>
    <row r="41" spans="2:17" x14ac:dyDescent="0.25">
      <c r="B41" t="s">
        <v>23</v>
      </c>
      <c r="C41" s="2">
        <f>AVERAGE(Table88[Newtonsoft])</f>
        <v>609550</v>
      </c>
      <c r="D41" s="2">
        <f>AVERAGE(Table88[Revenj])</f>
        <v>241752.33333333334</v>
      </c>
      <c r="E41" s="2">
        <f>AVERAGE(Table88[ProtoBuf (binary reference)])</f>
        <v>177880</v>
      </c>
      <c r="F41" s="2">
        <f>AVERAGE(Table88[Service Stack])</f>
        <v>642954.66666666663</v>
      </c>
      <c r="G41" s="2">
        <f>AVERAGE(Table88[Jil])</f>
        <v>414386</v>
      </c>
      <c r="H41" s="2" t="e">
        <f>AVERAGE(Table88[NetJSON])</f>
        <v>#DIV/0!</v>
      </c>
      <c r="I41" s="2">
        <f>AVERAGE(Table88[Jackson])</f>
        <v>236515.66666666666</v>
      </c>
      <c r="J41" s="2">
        <f>AVERAGE(Table88[DSL-JSON])</f>
        <v>60387.333333333336</v>
      </c>
      <c r="K41" s="2">
        <f>AVERAGE(Table88[Kryo (binary reference)])</f>
        <v>52925</v>
      </c>
      <c r="L41" s="2" t="e">
        <f>AVERAGE(Table88[Boon])</f>
        <v>#DIV/0!</v>
      </c>
      <c r="M41" s="2" t="e">
        <f>AVERAGE(Table88[Alibaba])</f>
        <v>#DIV/0!</v>
      </c>
      <c r="N41" s="2">
        <f>AVERAGE(Table88[Gson])</f>
        <v>450441</v>
      </c>
      <c r="O41" s="2"/>
      <c r="P41" s="2"/>
      <c r="Q41" s="2"/>
    </row>
    <row r="42" spans="2:17" x14ac:dyDescent="0.25">
      <c r="B42" t="s">
        <v>4</v>
      </c>
      <c r="C42" s="3">
        <f>AVERAGE(Table86[Newtonsoft (size)])</f>
        <v>8624258785.333334</v>
      </c>
      <c r="D42" s="3">
        <f>AVERAGE(Table86[Revenj (size)])</f>
        <v>7557405367</v>
      </c>
      <c r="E42" s="3">
        <f>AVERAGE(Table86[ProtoBuf (size)])</f>
        <v>3713376198</v>
      </c>
      <c r="F42" s="3">
        <f>AVERAGE(Table86[Service Stack (size)])</f>
        <v>8204343029.333333</v>
      </c>
      <c r="G42" s="2">
        <f>AVERAGE(Table86[Jil (size)])</f>
        <v>8637702117</v>
      </c>
      <c r="H42" s="2" t="e">
        <f>AVERAGE(Table86[NetJSON (size)])</f>
        <v>#DIV/0!</v>
      </c>
      <c r="I42" s="2">
        <f>AVERAGE(Table86[Jackson (size)])</f>
        <v>7519662117</v>
      </c>
      <c r="J42" s="2">
        <f>AVERAGE(Table86[DSL-JSON (size)])</f>
        <v>7557405367</v>
      </c>
      <c r="K42" s="2">
        <f>AVERAGE(Table86[Kryo (size)])</f>
        <v>3323159245</v>
      </c>
      <c r="L42" s="2" t="e">
        <f>AVERAGE(Table86[Boon (size)])</f>
        <v>#DIV/0!</v>
      </c>
      <c r="M42" s="2" t="e">
        <f>AVERAGE(Table86[Alibaba (size)])</f>
        <v>#DIV/0!</v>
      </c>
      <c r="N42" s="2">
        <f>AVERAGE(Table86[Gson (size)])</f>
        <v>7519662117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DEVSQ(Table86[Newtonsoft])</f>
        <v>735066</v>
      </c>
      <c r="D47" s="2">
        <f>DEVSQ(Table86[Revenj])</f>
        <v>265760.66666666669</v>
      </c>
      <c r="E47" s="2">
        <f>DEVSQ(Table86[ProtoBuf (binary reference)])</f>
        <v>716920.66666666674</v>
      </c>
      <c r="F47" s="2">
        <f>DEVSQ(Table86[Service Stack])</f>
        <v>7434264.666666667</v>
      </c>
      <c r="G47" s="2">
        <f>DEVSQ(Table86[Jil])</f>
        <v>101582</v>
      </c>
      <c r="H47" s="2" t="e">
        <f>DEVSQ(Table86[NetJSON])</f>
        <v>#NUM!</v>
      </c>
      <c r="I47" s="2">
        <f>DEVSQ(Table86[Jackson])</f>
        <v>733418</v>
      </c>
      <c r="J47" s="2">
        <f>DEVSQ(Table86[DSL-JSON])</f>
        <v>120716.66666666666</v>
      </c>
      <c r="K47" s="2">
        <f>DEVSQ(Table86[Kryo (binary reference)])</f>
        <v>2166688.666666667</v>
      </c>
      <c r="L47" s="2" t="e">
        <f>DEVSQ(Table86[Boon])</f>
        <v>#NUM!</v>
      </c>
      <c r="M47" s="2" t="e">
        <f>DEVSQ(Table86[Alibaba])</f>
        <v>#NUM!</v>
      </c>
      <c r="N47" s="2">
        <f>DEVSQ(Table86[Gson])</f>
        <v>171290932.66666666</v>
      </c>
      <c r="O47" s="2"/>
      <c r="P47" s="2"/>
      <c r="Q47" s="2"/>
    </row>
    <row r="48" spans="2:17" x14ac:dyDescent="0.25">
      <c r="B48" t="s">
        <v>23</v>
      </c>
      <c r="C48" s="2">
        <f>DEVSQ(Table88[Newtonsoft])</f>
        <v>8776392</v>
      </c>
      <c r="D48" s="2">
        <f>DEVSQ(Table88[Revenj])</f>
        <v>802344.66666666663</v>
      </c>
      <c r="E48" s="2">
        <f>DEVSQ(Table88[ProtoBuf (binary reference)])</f>
        <v>306528</v>
      </c>
      <c r="F48" s="2">
        <f>DEVSQ(Table88[Service Stack])</f>
        <v>9810658.666666666</v>
      </c>
      <c r="G48" s="2">
        <f>DEVSQ(Table88[Jil])</f>
        <v>24542</v>
      </c>
      <c r="H48" s="2" t="e">
        <f>DEVSQ(Table88[NetJSON])</f>
        <v>#NUM!</v>
      </c>
      <c r="I48" s="2">
        <f>DEVSQ(Table88[Jackson])</f>
        <v>7982962.666666666</v>
      </c>
      <c r="J48" s="2">
        <f>DEVSQ(Table88[DSL-JSON])</f>
        <v>2000842.6666666665</v>
      </c>
      <c r="K48" s="2">
        <f>DEVSQ(Table88[Kryo (binary reference)])</f>
        <v>2981738</v>
      </c>
      <c r="L48" s="2" t="e">
        <f>DEVSQ(Table88[Boon])</f>
        <v>#NUM!</v>
      </c>
      <c r="M48" s="2" t="e">
        <f>DEVSQ(Table88[Alibaba])</f>
        <v>#NUM!</v>
      </c>
      <c r="N48" s="2">
        <f>DEVSQ(Table88[Gson])</f>
        <v>208710294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79453</v>
      </c>
      <c r="C52">
        <v>81505</v>
      </c>
      <c r="D52">
        <v>81836</v>
      </c>
      <c r="E52">
        <v>79947</v>
      </c>
      <c r="F52">
        <v>81346</v>
      </c>
      <c r="H52">
        <v>11081</v>
      </c>
      <c r="I52">
        <v>11092</v>
      </c>
      <c r="J52">
        <v>11003</v>
      </c>
      <c r="M52">
        <v>11607</v>
      </c>
    </row>
    <row r="53" spans="2:25" x14ac:dyDescent="0.25">
      <c r="B53">
        <v>79889</v>
      </c>
      <c r="C53">
        <v>81493</v>
      </c>
      <c r="D53">
        <v>81811</v>
      </c>
      <c r="E53">
        <v>81797</v>
      </c>
      <c r="F53">
        <v>79460</v>
      </c>
      <c r="H53">
        <v>11027</v>
      </c>
      <c r="I53">
        <v>10871</v>
      </c>
      <c r="J53">
        <v>11473</v>
      </c>
      <c r="M53">
        <v>11495</v>
      </c>
    </row>
    <row r="54" spans="2:25" x14ac:dyDescent="0.25">
      <c r="B54">
        <v>79657</v>
      </c>
      <c r="C54">
        <v>81486</v>
      </c>
      <c r="D54">
        <v>81578</v>
      </c>
      <c r="E54">
        <v>79671</v>
      </c>
      <c r="F54">
        <v>79633</v>
      </c>
      <c r="H54">
        <v>11165</v>
      </c>
      <c r="I54">
        <v>11259</v>
      </c>
      <c r="J54">
        <v>11074</v>
      </c>
      <c r="M54">
        <v>11181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317688</v>
      </c>
      <c r="C58">
        <v>134491</v>
      </c>
      <c r="D58">
        <v>116381</v>
      </c>
      <c r="E58">
        <v>270373</v>
      </c>
      <c r="F58">
        <v>257838</v>
      </c>
      <c r="H58">
        <v>80153</v>
      </c>
      <c r="I58">
        <v>32960</v>
      </c>
      <c r="J58">
        <v>28876</v>
      </c>
      <c r="M58">
        <v>264408</v>
      </c>
      <c r="N58">
        <v>8630035452</v>
      </c>
      <c r="O58">
        <v>7557405367</v>
      </c>
      <c r="P58">
        <v>3713376198</v>
      </c>
      <c r="Q58">
        <v>8204342996</v>
      </c>
      <c r="R58">
        <v>8637702117</v>
      </c>
      <c r="T58">
        <v>7519662117</v>
      </c>
      <c r="U58">
        <v>7557405367</v>
      </c>
      <c r="V58">
        <v>3323159245</v>
      </c>
      <c r="Y58">
        <v>7519662117</v>
      </c>
    </row>
    <row r="59" spans="2:25" x14ac:dyDescent="0.25">
      <c r="B59">
        <v>318045</v>
      </c>
      <c r="C59">
        <v>133766</v>
      </c>
      <c r="D59">
        <v>117257</v>
      </c>
      <c r="E59">
        <v>271530</v>
      </c>
      <c r="F59">
        <v>257719</v>
      </c>
      <c r="H59">
        <v>79156</v>
      </c>
      <c r="I59">
        <v>33330</v>
      </c>
      <c r="J59">
        <v>28913</v>
      </c>
      <c r="M59">
        <v>248711</v>
      </c>
      <c r="N59">
        <v>8630035452</v>
      </c>
      <c r="O59">
        <v>7557405367</v>
      </c>
      <c r="P59">
        <v>3713376198</v>
      </c>
      <c r="Q59">
        <v>8204343046</v>
      </c>
      <c r="R59">
        <v>8637702117</v>
      </c>
      <c r="T59">
        <v>7519662117</v>
      </c>
      <c r="U59">
        <v>7557405367</v>
      </c>
      <c r="V59">
        <v>3323159245</v>
      </c>
      <c r="Y59">
        <v>7519662117</v>
      </c>
    </row>
    <row r="60" spans="2:25" x14ac:dyDescent="0.25">
      <c r="B60">
        <v>318870</v>
      </c>
      <c r="C60">
        <v>134195</v>
      </c>
      <c r="D60">
        <v>117526</v>
      </c>
      <c r="E60">
        <v>274137</v>
      </c>
      <c r="F60">
        <v>257402</v>
      </c>
      <c r="H60">
        <v>79059</v>
      </c>
      <c r="I60">
        <v>32865</v>
      </c>
      <c r="J60">
        <v>30697</v>
      </c>
      <c r="M60">
        <v>248066</v>
      </c>
      <c r="N60">
        <v>8612705452</v>
      </c>
      <c r="O60">
        <v>7557405367</v>
      </c>
      <c r="P60">
        <v>3713376198</v>
      </c>
      <c r="Q60">
        <v>8204343046</v>
      </c>
      <c r="R60">
        <v>8637702117</v>
      </c>
      <c r="T60">
        <v>7519662117</v>
      </c>
      <c r="U60">
        <v>7557405367</v>
      </c>
      <c r="V60">
        <v>3323159245</v>
      </c>
      <c r="Y60">
        <v>7519662117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607134</v>
      </c>
      <c r="C64">
        <v>242112</v>
      </c>
      <c r="D64">
        <v>178308</v>
      </c>
      <c r="E64">
        <v>640484</v>
      </c>
      <c r="F64">
        <v>414395</v>
      </c>
      <c r="H64">
        <v>234323</v>
      </c>
      <c r="I64">
        <v>59618</v>
      </c>
      <c r="J64">
        <v>52040</v>
      </c>
      <c r="M64">
        <v>443363</v>
      </c>
    </row>
    <row r="65" spans="2:13" x14ac:dyDescent="0.25">
      <c r="B65">
        <v>610656</v>
      </c>
      <c r="C65">
        <v>241021</v>
      </c>
      <c r="D65">
        <v>177540</v>
      </c>
      <c r="E65">
        <v>643618</v>
      </c>
      <c r="F65">
        <v>414492</v>
      </c>
      <c r="H65">
        <v>236991</v>
      </c>
      <c r="I65">
        <v>60026</v>
      </c>
      <c r="J65">
        <v>52417</v>
      </c>
      <c r="M65">
        <v>462152</v>
      </c>
    </row>
    <row r="66" spans="2:13" x14ac:dyDescent="0.25">
      <c r="B66">
        <v>610860</v>
      </c>
      <c r="C66">
        <v>242124</v>
      </c>
      <c r="D66">
        <v>177792</v>
      </c>
      <c r="E66">
        <v>644762</v>
      </c>
      <c r="F66">
        <v>414271</v>
      </c>
      <c r="H66">
        <v>238233</v>
      </c>
      <c r="I66">
        <v>61518</v>
      </c>
      <c r="J66">
        <v>54318</v>
      </c>
      <c r="M66">
        <v>445808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52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AVERAGE(Table92[Newtonsoft])</f>
        <v>947.33333333333337</v>
      </c>
      <c r="D38" s="2">
        <f>AVERAGE(Table92[Revenj])</f>
        <v>944.33333333333337</v>
      </c>
      <c r="E38" s="2">
        <f>AVERAGE(Table92[ProtoBuf (binary reference)])</f>
        <v>935</v>
      </c>
      <c r="F38" s="2" t="e">
        <f>AVERAGE(Table92[Service Stack])</f>
        <v>#DIV/0!</v>
      </c>
      <c r="G38" s="2" t="e">
        <f>AVERAGE(Table92[Jil])</f>
        <v>#DIV/0!</v>
      </c>
      <c r="H38" s="2" t="e">
        <f>AVERAGE(Table92[NetJSON])</f>
        <v>#DIV/0!</v>
      </c>
      <c r="I38" s="2">
        <f>AVERAGE(Table92[Jackson])</f>
        <v>310</v>
      </c>
      <c r="J38" s="2">
        <f>AVERAGE(Table92[DSL-JSON])</f>
        <v>324.66666666666669</v>
      </c>
      <c r="K38" s="2">
        <f>AVERAGE(Table92[Kryo (binary reference)])</f>
        <v>330.66666666666669</v>
      </c>
      <c r="L38" s="2" t="e">
        <f>AVERAGE(Table92[Boon])</f>
        <v>#DIV/0!</v>
      </c>
      <c r="M38" s="2" t="e">
        <f>AVERAGE(Table92[Alibaba])</f>
        <v>#DIV/0!</v>
      </c>
      <c r="N38" s="2" t="e">
        <f>AVERAGE(Table92[Gson])</f>
        <v>#DIV/0!</v>
      </c>
      <c r="O38" s="2"/>
      <c r="P38" s="2"/>
      <c r="Q38" s="2"/>
    </row>
    <row r="39" spans="2:17" x14ac:dyDescent="0.25">
      <c r="B39" t="s">
        <v>0</v>
      </c>
      <c r="C39" s="2">
        <f>AVERAGE(Table91[Newtonsoft]) - C38</f>
        <v>1653.333333333333</v>
      </c>
      <c r="D39" s="2">
        <f>AVERAGE(Table91[Revenj]) - D38</f>
        <v>345.66666666666663</v>
      </c>
      <c r="E39" s="2">
        <f>AVERAGE(Table91[ProtoBuf (binary reference)]) - E38</f>
        <v>459.33333333333326</v>
      </c>
      <c r="F39" s="2" t="e">
        <f>AVERAGE(Table91[Service Stack]) - F38</f>
        <v>#DIV/0!</v>
      </c>
      <c r="G39" s="2" t="e">
        <f>AVERAGE(Table91[Jil]) - G38</f>
        <v>#DIV/0!</v>
      </c>
      <c r="H39" s="2" t="e">
        <f>AVERAGE(Table91[NetJSON]) - H38</f>
        <v>#DIV/0!</v>
      </c>
      <c r="I39" s="2">
        <f>AVERAGE(Table91[Jackson]) - I38</f>
        <v>741.66666666666674</v>
      </c>
      <c r="J39" s="2">
        <f>AVERAGE(Table91[DSL-JSON]) - J38</f>
        <v>236.66666666666669</v>
      </c>
      <c r="K39" s="2">
        <f>AVERAGE(Table91[Kryo (binary reference)]) - K38</f>
        <v>229.99999999999994</v>
      </c>
      <c r="L39" s="2" t="e">
        <f>AVERAGE(Table91[Boon]) - L38</f>
        <v>#DIV/0!</v>
      </c>
      <c r="M39" s="2" t="e">
        <f>AVERAGE(Table91[Alibaba]) - M38</f>
        <v>#DIV/0!</v>
      </c>
      <c r="N39" s="2" t="e">
        <f>AVERAGE(Table91[Gson]) - N38</f>
        <v>#DIV/0!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2367.6666666666665</v>
      </c>
      <c r="D40" s="2">
        <f t="shared" si="0"/>
        <v>1034.6666666666665</v>
      </c>
      <c r="E40" s="2">
        <f t="shared" ref="E40" si="1">E41 - E39 - E38</f>
        <v>823.00000000000023</v>
      </c>
      <c r="F40" s="2" t="e">
        <f t="shared" si="0"/>
        <v>#DIV/0!</v>
      </c>
      <c r="G40" s="2" t="e">
        <f t="shared" si="0"/>
        <v>#DIV/0!</v>
      </c>
      <c r="H40" s="2" t="e">
        <f t="shared" si="0"/>
        <v>#DIV/0!</v>
      </c>
      <c r="I40" s="2">
        <f t="shared" ref="I40" si="2">I41 - I39 - I38</f>
        <v>1666.3333333333333</v>
      </c>
      <c r="J40" s="2">
        <f t="shared" ref="J40" si="3">J41 - J39 - J38</f>
        <v>212.33333333333331</v>
      </c>
      <c r="K40" s="2">
        <f t="shared" ref="K40:L40" si="4">K41 - K39 - K38</f>
        <v>177.33333333333337</v>
      </c>
      <c r="L40" s="2" t="e">
        <f t="shared" si="4"/>
        <v>#DIV/0!</v>
      </c>
      <c r="M40" s="2" t="e">
        <f t="shared" ref="M40" si="5">M41 - M39 - M38</f>
        <v>#DIV/0!</v>
      </c>
      <c r="N40" s="2" t="e">
        <f t="shared" ref="N40" si="6">N41 - N39 - N38</f>
        <v>#DIV/0!</v>
      </c>
      <c r="O40" s="2"/>
      <c r="P40" s="2"/>
      <c r="Q40" s="2"/>
    </row>
    <row r="41" spans="2:17" x14ac:dyDescent="0.25">
      <c r="B41" t="s">
        <v>23</v>
      </c>
      <c r="C41" s="2">
        <f>AVERAGE(Table93[Newtonsoft])</f>
        <v>4968.333333333333</v>
      </c>
      <c r="D41" s="2">
        <f>AVERAGE(Table93[Revenj])</f>
        <v>2324.6666666666665</v>
      </c>
      <c r="E41" s="2">
        <f>AVERAGE(Table93[ProtoBuf (binary reference)])</f>
        <v>2217.3333333333335</v>
      </c>
      <c r="F41" s="2" t="e">
        <f>AVERAGE(Table93[Service Stack])</f>
        <v>#DIV/0!</v>
      </c>
      <c r="G41" s="2" t="e">
        <f>AVERAGE(Table93[Jil])</f>
        <v>#DIV/0!</v>
      </c>
      <c r="H41" s="2" t="e">
        <f>AVERAGE(Table93[NetJSON])</f>
        <v>#DIV/0!</v>
      </c>
      <c r="I41" s="2">
        <f>AVERAGE(Table93[Jackson])</f>
        <v>2718</v>
      </c>
      <c r="J41" s="2">
        <f>AVERAGE(Table93[DSL-JSON])</f>
        <v>773.66666666666663</v>
      </c>
      <c r="K41" s="2">
        <f>AVERAGE(Table93[Kryo (binary reference)])</f>
        <v>738</v>
      </c>
      <c r="L41" s="2" t="e">
        <f>AVERAGE(Table93[Boon])</f>
        <v>#DIV/0!</v>
      </c>
      <c r="M41" s="2" t="e">
        <f>AVERAGE(Table93[Alibaba])</f>
        <v>#DIV/0!</v>
      </c>
      <c r="N41" s="2" t="e">
        <f>AVERAGE(Table93[Gson])</f>
        <v>#DIV/0!</v>
      </c>
      <c r="O41" s="2"/>
      <c r="P41" s="2"/>
      <c r="Q41" s="2"/>
    </row>
    <row r="42" spans="2:17" x14ac:dyDescent="0.25">
      <c r="B42" t="s">
        <v>4</v>
      </c>
      <c r="C42" s="3">
        <f>AVERAGE(Table91[Newtonsoft (size)])</f>
        <v>62705819</v>
      </c>
      <c r="D42" s="3">
        <f>AVERAGE(Table91[Revenj (size)])</f>
        <v>49485608</v>
      </c>
      <c r="E42" s="3">
        <f>AVERAGE(Table91[ProtoBuf (size)])</f>
        <v>22929726</v>
      </c>
      <c r="F42" s="3" t="e">
        <f>AVERAGE(Table91[Service Stack (size)])</f>
        <v>#DIV/0!</v>
      </c>
      <c r="G42" s="2" t="e">
        <f>AVERAGE(Table91[Jil (size)])</f>
        <v>#DIV/0!</v>
      </c>
      <c r="H42" s="2" t="e">
        <f>AVERAGE(Table91[NetJSON (size)])</f>
        <v>#DIV/0!</v>
      </c>
      <c r="I42" s="2">
        <f>AVERAGE(Table91[Jackson (size)])</f>
        <v>48174191</v>
      </c>
      <c r="J42" s="2">
        <f>AVERAGE(Table91[DSL-JSON (size)])</f>
        <v>49485608</v>
      </c>
      <c r="K42" s="2">
        <f>AVERAGE(Table91[Kryo (size)])</f>
        <v>20305710</v>
      </c>
      <c r="L42" s="2" t="e">
        <f>AVERAGE(Table91[Boon (size)])</f>
        <v>#DIV/0!</v>
      </c>
      <c r="M42" s="2" t="e">
        <f>AVERAGE(Table91[Alibaba (size)])</f>
        <v>#DIV/0!</v>
      </c>
      <c r="N42" s="2" t="e">
        <f>AVERAGE(Table91[Gson (size)])</f>
        <v>#DIV/0!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55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DEVSQ(Table91[Newtonsoft])</f>
        <v>28.666666666666668</v>
      </c>
      <c r="D47" s="2">
        <f>DEVSQ(Table91[Revenj])</f>
        <v>294</v>
      </c>
      <c r="E47" s="2">
        <f>DEVSQ(Table91[ProtoBuf (binary reference)])</f>
        <v>32.666666666666671</v>
      </c>
      <c r="F47" s="2" t="e">
        <f>DEVSQ(Table91[Service Stack])</f>
        <v>#NUM!</v>
      </c>
      <c r="G47" s="2" t="e">
        <f>DEVSQ(Table91[Jil])</f>
        <v>#NUM!</v>
      </c>
      <c r="H47" s="2" t="e">
        <f>DEVSQ(Table91[NetJSON])</f>
        <v>#NUM!</v>
      </c>
      <c r="I47" s="2">
        <f>DEVSQ(Table91[Jackson])</f>
        <v>1728.6666666666667</v>
      </c>
      <c r="J47" s="2">
        <f>DEVSQ(Table91[DSL-JSON])</f>
        <v>480.66666666666669</v>
      </c>
      <c r="K47" s="2">
        <f>DEVSQ(Table91[Kryo (binary reference)])</f>
        <v>204.66666666666669</v>
      </c>
      <c r="L47" s="2" t="e">
        <f>DEVSQ(Table91[Boon])</f>
        <v>#NUM!</v>
      </c>
      <c r="M47" s="2" t="e">
        <f>DEVSQ(Table91[Alibaba])</f>
        <v>#NUM!</v>
      </c>
      <c r="N47" s="2" t="e">
        <f>DEVSQ(Table91[Gson])</f>
        <v>#NUM!</v>
      </c>
      <c r="O47" s="2"/>
      <c r="P47" s="2"/>
      <c r="Q47" s="2"/>
    </row>
    <row r="48" spans="2:17" x14ac:dyDescent="0.25">
      <c r="B48" t="s">
        <v>23</v>
      </c>
      <c r="C48" s="2">
        <f>DEVSQ(Table93[Newtonsoft])</f>
        <v>3370.6666666666665</v>
      </c>
      <c r="D48" s="2">
        <f>DEVSQ(Table93[Revenj])</f>
        <v>528.66666666666663</v>
      </c>
      <c r="E48" s="2">
        <f>DEVSQ(Table93[ProtoBuf (binary reference)])</f>
        <v>354.66666666666663</v>
      </c>
      <c r="F48" s="2" t="e">
        <f>DEVSQ(Table93[Service Stack])</f>
        <v>#NUM!</v>
      </c>
      <c r="G48" s="2" t="e">
        <f>DEVSQ(Table93[Jil])</f>
        <v>#NUM!</v>
      </c>
      <c r="H48" s="2" t="e">
        <f>DEVSQ(Table93[NetJSON])</f>
        <v>#NUM!</v>
      </c>
      <c r="I48" s="2">
        <f>DEVSQ(Table93[Jackson])</f>
        <v>1058</v>
      </c>
      <c r="J48" s="2">
        <f>DEVSQ(Table93[DSL-JSON])</f>
        <v>424.66666666666669</v>
      </c>
      <c r="K48" s="2">
        <f>DEVSQ(Table93[Kryo (binary reference)])</f>
        <v>342</v>
      </c>
      <c r="L48" s="2" t="e">
        <f>DEVSQ(Table93[Boon])</f>
        <v>#NUM!</v>
      </c>
      <c r="M48" s="2" t="e">
        <f>DEVSQ(Table93[Alibaba])</f>
        <v>#NUM!</v>
      </c>
      <c r="N48" s="2" t="e">
        <f>DEVSQ(Table93[Gson])</f>
        <v>#NUM!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952</v>
      </c>
      <c r="C52">
        <v>953</v>
      </c>
      <c r="D52">
        <v>926</v>
      </c>
      <c r="H52">
        <v>300</v>
      </c>
      <c r="I52">
        <v>320</v>
      </c>
      <c r="J52">
        <v>324</v>
      </c>
    </row>
    <row r="53" spans="2:25" x14ac:dyDescent="0.25">
      <c r="B53">
        <v>945</v>
      </c>
      <c r="C53">
        <v>942</v>
      </c>
      <c r="D53">
        <v>944</v>
      </c>
      <c r="H53">
        <v>325</v>
      </c>
      <c r="I53">
        <v>324</v>
      </c>
      <c r="J53">
        <v>339</v>
      </c>
    </row>
    <row r="54" spans="2:25" x14ac:dyDescent="0.25">
      <c r="B54">
        <v>945</v>
      </c>
      <c r="C54">
        <v>938</v>
      </c>
      <c r="D54">
        <v>935</v>
      </c>
      <c r="H54">
        <v>305</v>
      </c>
      <c r="I54">
        <v>330</v>
      </c>
      <c r="J54">
        <v>329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2599</v>
      </c>
      <c r="C58">
        <v>1304</v>
      </c>
      <c r="D58">
        <v>1395</v>
      </c>
      <c r="H58">
        <v>1019</v>
      </c>
      <c r="I58">
        <v>555</v>
      </c>
      <c r="J58">
        <v>566</v>
      </c>
      <c r="N58">
        <v>62705819</v>
      </c>
      <c r="O58">
        <v>49485608</v>
      </c>
      <c r="P58">
        <v>22929726</v>
      </c>
      <c r="T58">
        <v>48174191</v>
      </c>
      <c r="U58">
        <v>49485608</v>
      </c>
      <c r="V58">
        <v>20305710</v>
      </c>
    </row>
    <row r="59" spans="2:25" x14ac:dyDescent="0.25">
      <c r="B59">
        <v>2598</v>
      </c>
      <c r="C59">
        <v>1283</v>
      </c>
      <c r="D59">
        <v>1398</v>
      </c>
      <c r="H59">
        <v>1060</v>
      </c>
      <c r="I59">
        <v>579</v>
      </c>
      <c r="J59">
        <v>549</v>
      </c>
      <c r="N59">
        <v>62705819</v>
      </c>
      <c r="O59">
        <v>49485608</v>
      </c>
      <c r="P59">
        <v>22929726</v>
      </c>
      <c r="T59">
        <v>48174191</v>
      </c>
      <c r="U59">
        <v>49485608</v>
      </c>
      <c r="V59">
        <v>20305710</v>
      </c>
    </row>
    <row r="60" spans="2:25" x14ac:dyDescent="0.25">
      <c r="B60">
        <v>2605</v>
      </c>
      <c r="C60">
        <v>1283</v>
      </c>
      <c r="D60">
        <v>1390</v>
      </c>
      <c r="H60">
        <v>1076</v>
      </c>
      <c r="I60">
        <v>550</v>
      </c>
      <c r="J60">
        <v>567</v>
      </c>
      <c r="N60">
        <v>62705819</v>
      </c>
      <c r="O60">
        <v>49485608</v>
      </c>
      <c r="P60">
        <v>22929726</v>
      </c>
      <c r="T60">
        <v>48174191</v>
      </c>
      <c r="U60">
        <v>49485608</v>
      </c>
      <c r="V60">
        <v>20305710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5003</v>
      </c>
      <c r="C64">
        <v>2312</v>
      </c>
      <c r="D64">
        <v>2226</v>
      </c>
      <c r="H64">
        <v>2741</v>
      </c>
      <c r="I64">
        <v>789</v>
      </c>
      <c r="J64">
        <v>747</v>
      </c>
    </row>
    <row r="65" spans="2:10" x14ac:dyDescent="0.25">
      <c r="B65">
        <v>4923</v>
      </c>
      <c r="C65">
        <v>2319</v>
      </c>
      <c r="D65">
        <v>2202</v>
      </c>
      <c r="H65">
        <v>2718</v>
      </c>
      <c r="I65">
        <v>772</v>
      </c>
      <c r="J65">
        <v>744</v>
      </c>
    </row>
    <row r="66" spans="2:10" x14ac:dyDescent="0.25">
      <c r="B66">
        <v>4979</v>
      </c>
      <c r="C66">
        <v>2343</v>
      </c>
      <c r="D66">
        <v>2224</v>
      </c>
      <c r="H66">
        <v>2695</v>
      </c>
      <c r="I66">
        <v>760</v>
      </c>
      <c r="J66">
        <v>723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53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AVERAGE(Table97[Newtonsoft])</f>
        <v>91437.333333333328</v>
      </c>
      <c r="D38" s="2">
        <f>AVERAGE(Table97[Revenj])</f>
        <v>91305.666666666672</v>
      </c>
      <c r="E38" s="2">
        <f>AVERAGE(Table97[ProtoBuf (binary reference)])</f>
        <v>91546.333333333328</v>
      </c>
      <c r="F38" s="2" t="e">
        <f>AVERAGE(Table97[Service Stack])</f>
        <v>#DIV/0!</v>
      </c>
      <c r="G38" s="2" t="e">
        <f>AVERAGE(Table97[Jil])</f>
        <v>#DIV/0!</v>
      </c>
      <c r="H38" s="2" t="e">
        <f>AVERAGE(Table97[NetJSON])</f>
        <v>#DIV/0!</v>
      </c>
      <c r="I38" s="2">
        <f>AVERAGE(Table97[Jackson])</f>
        <v>7377.333333333333</v>
      </c>
      <c r="J38" s="2">
        <f>AVERAGE(Table97[DSL-JSON])</f>
        <v>7310</v>
      </c>
      <c r="K38" s="2">
        <f>AVERAGE(Table97[Kryo (binary reference)])</f>
        <v>7283.333333333333</v>
      </c>
      <c r="L38" s="2" t="e">
        <f>AVERAGE(Table97[Boon])</f>
        <v>#DIV/0!</v>
      </c>
      <c r="M38" s="2" t="e">
        <f>AVERAGE(Table97[Alibaba])</f>
        <v>#DIV/0!</v>
      </c>
      <c r="N38" s="2" t="e">
        <f>AVERAGE(Table97[Gson])</f>
        <v>#DIV/0!</v>
      </c>
      <c r="O38" s="2"/>
      <c r="P38" s="2"/>
      <c r="Q38" s="2"/>
    </row>
    <row r="39" spans="2:17" x14ac:dyDescent="0.25">
      <c r="B39" t="s">
        <v>0</v>
      </c>
      <c r="C39" s="2">
        <f>AVERAGE(Table96[Newtonsoft]) - C38</f>
        <v>135159</v>
      </c>
      <c r="D39" s="2">
        <f>AVERAGE(Table96[Revenj]) - D38</f>
        <v>46789.999999999985</v>
      </c>
      <c r="E39" s="2">
        <f>AVERAGE(Table96[ProtoBuf (binary reference)]) - E38</f>
        <v>37941.333333333343</v>
      </c>
      <c r="F39" s="2" t="e">
        <f>AVERAGE(Table96[Service Stack]) - F38</f>
        <v>#DIV/0!</v>
      </c>
      <c r="G39" s="2" t="e">
        <f>AVERAGE(Table96[Jil]) - G38</f>
        <v>#DIV/0!</v>
      </c>
      <c r="H39" s="2" t="e">
        <f>AVERAGE(Table96[NetJSON]) - H38</f>
        <v>#DIV/0!</v>
      </c>
      <c r="I39" s="2">
        <f>AVERAGE(Table96[Jackson]) - I38</f>
        <v>48269</v>
      </c>
      <c r="J39" s="2">
        <f>AVERAGE(Table96[DSL-JSON]) - J38</f>
        <v>25971.333333333336</v>
      </c>
      <c r="K39" s="2">
        <f>AVERAGE(Table96[Kryo (binary reference)]) - K38</f>
        <v>21983.333333333336</v>
      </c>
      <c r="L39" s="2" t="e">
        <f>AVERAGE(Table96[Boon]) - L38</f>
        <v>#DIV/0!</v>
      </c>
      <c r="M39" s="2" t="e">
        <f>AVERAGE(Table96[Alibaba]) - M38</f>
        <v>#DIV/0!</v>
      </c>
      <c r="N39" s="2" t="e">
        <f>AVERAGE(Table96[Gson]) - N38</f>
        <v>#DIV/0!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247793.66666666669</v>
      </c>
      <c r="D40" s="2">
        <f t="shared" si="0"/>
        <v>146491</v>
      </c>
      <c r="E40" s="2">
        <f t="shared" ref="E40" si="1">E41 - E39 - E38</f>
        <v>115160.99999999999</v>
      </c>
      <c r="F40" s="2" t="e">
        <f t="shared" si="0"/>
        <v>#DIV/0!</v>
      </c>
      <c r="G40" s="2" t="e">
        <f t="shared" si="0"/>
        <v>#DIV/0!</v>
      </c>
      <c r="H40" s="2" t="e">
        <f t="shared" si="0"/>
        <v>#DIV/0!</v>
      </c>
      <c r="I40" s="2">
        <f t="shared" ref="I40" si="2">I41 - I39 - I38</f>
        <v>108834.33333333333</v>
      </c>
      <c r="J40" s="2">
        <f t="shared" ref="J40" si="3">J41 - J39 - J38</f>
        <v>22921.333333333328</v>
      </c>
      <c r="K40" s="2">
        <f t="shared" ref="K40:L40" si="4">K41 - K39 - K38</f>
        <v>17352.999999999996</v>
      </c>
      <c r="L40" s="2" t="e">
        <f t="shared" si="4"/>
        <v>#DIV/0!</v>
      </c>
      <c r="M40" s="2" t="e">
        <f t="shared" ref="M40" si="5">M41 - M39 - M38</f>
        <v>#DIV/0!</v>
      </c>
      <c r="N40" s="2" t="e">
        <f t="shared" ref="N40" si="6">N41 - N39 - N38</f>
        <v>#DIV/0!</v>
      </c>
      <c r="O40" s="2"/>
      <c r="P40" s="2"/>
      <c r="Q40" s="2"/>
    </row>
    <row r="41" spans="2:17" x14ac:dyDescent="0.25">
      <c r="B41" t="s">
        <v>23</v>
      </c>
      <c r="C41" s="2">
        <f>AVERAGE(Table98[Newtonsoft])</f>
        <v>474390</v>
      </c>
      <c r="D41" s="2">
        <f>AVERAGE(Table98[Revenj])</f>
        <v>284586.66666666669</v>
      </c>
      <c r="E41" s="2">
        <f>AVERAGE(Table98[ProtoBuf (binary reference)])</f>
        <v>244648.66666666666</v>
      </c>
      <c r="F41" s="2" t="e">
        <f>AVERAGE(Table98[Service Stack])</f>
        <v>#DIV/0!</v>
      </c>
      <c r="G41" s="2" t="e">
        <f>AVERAGE(Table98[Jil])</f>
        <v>#DIV/0!</v>
      </c>
      <c r="H41" s="2" t="e">
        <f>AVERAGE(Table98[NetJSON])</f>
        <v>#DIV/0!</v>
      </c>
      <c r="I41" s="2">
        <f>AVERAGE(Table98[Jackson])</f>
        <v>164480.66666666666</v>
      </c>
      <c r="J41" s="2">
        <f>AVERAGE(Table98[DSL-JSON])</f>
        <v>56202.666666666664</v>
      </c>
      <c r="K41" s="2">
        <f>AVERAGE(Table98[Kryo (binary reference)])</f>
        <v>46619.666666666664</v>
      </c>
      <c r="L41" s="2" t="e">
        <f>AVERAGE(Table98[Boon])</f>
        <v>#DIV/0!</v>
      </c>
      <c r="M41" s="2" t="e">
        <f>AVERAGE(Table98[Alibaba])</f>
        <v>#DIV/0!</v>
      </c>
      <c r="N41" s="2" t="e">
        <f>AVERAGE(Table98[Gson])</f>
        <v>#DIV/0!</v>
      </c>
      <c r="O41" s="2"/>
      <c r="P41" s="2"/>
      <c r="Q41" s="2"/>
    </row>
    <row r="42" spans="2:17" x14ac:dyDescent="0.25">
      <c r="B42" t="s">
        <v>4</v>
      </c>
      <c r="C42" s="3">
        <f>AVERAGE(Table96[Newtonsoft (size)])</f>
        <v>9822874416</v>
      </c>
      <c r="D42" s="3">
        <f>AVERAGE(Table96[Revenj (size)])</f>
        <v>9490545095</v>
      </c>
      <c r="E42" s="3">
        <f>AVERAGE(Table96[ProtoBuf (size)])</f>
        <v>7473413088</v>
      </c>
      <c r="F42" s="3" t="e">
        <f>AVERAGE(Table96[Service Stack (size)])</f>
        <v>#DIV/0!</v>
      </c>
      <c r="G42" s="2" t="e">
        <f>AVERAGE(Table96[Jil (size)])</f>
        <v>#DIV/0!</v>
      </c>
      <c r="H42" s="2" t="e">
        <f>AVERAGE(Table96[NetJSON (size)])</f>
        <v>#DIV/0!</v>
      </c>
      <c r="I42" s="2">
        <f>AVERAGE(Table96[Jackson (size)])</f>
        <v>9388368563</v>
      </c>
      <c r="J42" s="2">
        <f>AVERAGE(Table96[DSL-JSON (size)])</f>
        <v>9490545095</v>
      </c>
      <c r="K42" s="2">
        <f>AVERAGE(Table96[Kryo (size)])</f>
        <v>7260003309</v>
      </c>
      <c r="L42" s="2" t="e">
        <f>AVERAGE(Table96[Boon (size)])</f>
        <v>#DIV/0!</v>
      </c>
      <c r="M42" s="2" t="e">
        <f>AVERAGE(Table96[Alibaba (size)])</f>
        <v>#DIV/0!</v>
      </c>
      <c r="N42" s="2" t="e">
        <f>AVERAGE(Table96[Gson (size)])</f>
        <v>#DIV/0!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DEVSQ(Table96[Newtonsoft])</f>
        <v>46708.666666666664</v>
      </c>
      <c r="D47" s="2">
        <f>DEVSQ(Table96[Revenj])</f>
        <v>4525938.666666667</v>
      </c>
      <c r="E47" s="2">
        <f>DEVSQ(Table96[ProtoBuf (binary reference)])</f>
        <v>2047410.6666666665</v>
      </c>
      <c r="F47" s="2" t="e">
        <f>DEVSQ(Table96[Service Stack])</f>
        <v>#NUM!</v>
      </c>
      <c r="G47" s="2" t="e">
        <f>DEVSQ(Table96[Jil])</f>
        <v>#NUM!</v>
      </c>
      <c r="H47" s="2" t="e">
        <f>DEVSQ(Table96[NetJSON])</f>
        <v>#NUM!</v>
      </c>
      <c r="I47" s="2">
        <f>DEVSQ(Table96[Jackson])</f>
        <v>3843242.666666667</v>
      </c>
      <c r="J47" s="2">
        <f>DEVSQ(Table96[DSL-JSON])</f>
        <v>921292.66666666674</v>
      </c>
      <c r="K47" s="2">
        <f>DEVSQ(Table96[Kryo (binary reference)])</f>
        <v>1672.6666666666665</v>
      </c>
      <c r="L47" s="2" t="e">
        <f>DEVSQ(Table96[Boon])</f>
        <v>#NUM!</v>
      </c>
      <c r="M47" s="2" t="e">
        <f>DEVSQ(Table96[Alibaba])</f>
        <v>#NUM!</v>
      </c>
      <c r="N47" s="2" t="e">
        <f>DEVSQ(Table96[Gson])</f>
        <v>#NUM!</v>
      </c>
      <c r="O47" s="2"/>
      <c r="P47" s="2"/>
      <c r="Q47" s="2"/>
    </row>
    <row r="48" spans="2:17" x14ac:dyDescent="0.25">
      <c r="B48" t="s">
        <v>23</v>
      </c>
      <c r="C48" s="2">
        <f>DEVSQ(Table98[Newtonsoft])</f>
        <v>53774678</v>
      </c>
      <c r="D48" s="2">
        <f>DEVSQ(Table98[Revenj])</f>
        <v>50954208.666666664</v>
      </c>
      <c r="E48" s="2">
        <f>DEVSQ(Table98[ProtoBuf (binary reference)])</f>
        <v>1378444.6666666665</v>
      </c>
      <c r="F48" s="2" t="e">
        <f>DEVSQ(Table98[Service Stack])</f>
        <v>#NUM!</v>
      </c>
      <c r="G48" s="2" t="e">
        <f>DEVSQ(Table98[Jil])</f>
        <v>#NUM!</v>
      </c>
      <c r="H48" s="2" t="e">
        <f>DEVSQ(Table98[NetJSON])</f>
        <v>#NUM!</v>
      </c>
      <c r="I48" s="2">
        <f>DEVSQ(Table98[Jackson])</f>
        <v>11603500.666666668</v>
      </c>
      <c r="J48" s="2">
        <f>DEVSQ(Table98[DSL-JSON])</f>
        <v>3235274.666666667</v>
      </c>
      <c r="K48" s="2">
        <f>DEVSQ(Table98[Kryo (binary reference)])</f>
        <v>720732.66666666674</v>
      </c>
      <c r="L48" s="2" t="e">
        <f>DEVSQ(Table98[Boon])</f>
        <v>#NUM!</v>
      </c>
      <c r="M48" s="2" t="e">
        <f>DEVSQ(Table98[Alibaba])</f>
        <v>#NUM!</v>
      </c>
      <c r="N48" s="2" t="e">
        <f>DEVSQ(Table98[Gson])</f>
        <v>#NUM!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91744</v>
      </c>
      <c r="C52">
        <v>91307</v>
      </c>
      <c r="D52">
        <v>92205</v>
      </c>
      <c r="H52">
        <v>7454</v>
      </c>
      <c r="I52">
        <v>7317</v>
      </c>
      <c r="J52">
        <v>7252</v>
      </c>
    </row>
    <row r="53" spans="2:25" x14ac:dyDescent="0.25">
      <c r="B53">
        <v>92119</v>
      </c>
      <c r="C53">
        <v>91111</v>
      </c>
      <c r="D53">
        <v>91028</v>
      </c>
      <c r="H53">
        <v>7222</v>
      </c>
      <c r="I53">
        <v>7314</v>
      </c>
      <c r="J53">
        <v>7344</v>
      </c>
    </row>
    <row r="54" spans="2:25" x14ac:dyDescent="0.25">
      <c r="B54">
        <v>90449</v>
      </c>
      <c r="C54">
        <v>91499</v>
      </c>
      <c r="D54">
        <v>91406</v>
      </c>
      <c r="H54">
        <v>7456</v>
      </c>
      <c r="I54">
        <v>7299</v>
      </c>
      <c r="J54">
        <v>7254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226772</v>
      </c>
      <c r="C58">
        <v>136359</v>
      </c>
      <c r="D58">
        <v>128335</v>
      </c>
      <c r="H58">
        <v>56985</v>
      </c>
      <c r="I58">
        <v>33076</v>
      </c>
      <c r="J58">
        <v>29298</v>
      </c>
      <c r="N58">
        <v>9822874416</v>
      </c>
      <c r="O58">
        <v>9490545095</v>
      </c>
      <c r="P58">
        <v>7473413088</v>
      </c>
      <c r="T58">
        <v>9388368563</v>
      </c>
      <c r="U58">
        <v>9490545095</v>
      </c>
      <c r="V58">
        <v>7260003309</v>
      </c>
    </row>
    <row r="59" spans="2:25" x14ac:dyDescent="0.25">
      <c r="B59">
        <v>226523</v>
      </c>
      <c r="C59">
        <v>138933</v>
      </c>
      <c r="D59">
        <v>129899</v>
      </c>
      <c r="H59">
        <v>55737</v>
      </c>
      <c r="I59">
        <v>34039</v>
      </c>
      <c r="J59">
        <v>29261</v>
      </c>
      <c r="N59">
        <v>9822874416</v>
      </c>
      <c r="O59">
        <v>9490545095</v>
      </c>
      <c r="P59">
        <v>7473413088</v>
      </c>
      <c r="T59">
        <v>9388368563</v>
      </c>
      <c r="U59">
        <v>9490545095</v>
      </c>
      <c r="V59">
        <v>7260003309</v>
      </c>
    </row>
    <row r="60" spans="2:25" x14ac:dyDescent="0.25">
      <c r="B60">
        <v>226494</v>
      </c>
      <c r="C60">
        <v>138995</v>
      </c>
      <c r="D60">
        <v>130229</v>
      </c>
      <c r="H60">
        <v>54217</v>
      </c>
      <c r="I60">
        <v>32729</v>
      </c>
      <c r="J60">
        <v>29241</v>
      </c>
      <c r="N60">
        <v>9822874416</v>
      </c>
      <c r="O60">
        <v>9490545095</v>
      </c>
      <c r="P60">
        <v>7473413088</v>
      </c>
      <c r="T60">
        <v>9388368563</v>
      </c>
      <c r="U60">
        <v>9490545095</v>
      </c>
      <c r="V60">
        <v>7260003309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471708</v>
      </c>
      <c r="C64">
        <v>289165</v>
      </c>
      <c r="D64">
        <v>245607</v>
      </c>
      <c r="H64">
        <v>167157</v>
      </c>
      <c r="I64">
        <v>57596</v>
      </c>
      <c r="J64">
        <v>46914</v>
      </c>
    </row>
    <row r="65" spans="2:10" x14ac:dyDescent="0.25">
      <c r="B65">
        <v>480367</v>
      </c>
      <c r="C65">
        <v>279174</v>
      </c>
      <c r="D65">
        <v>244149</v>
      </c>
      <c r="H65">
        <v>162487</v>
      </c>
      <c r="I65">
        <v>55908</v>
      </c>
      <c r="J65">
        <v>47016</v>
      </c>
    </row>
    <row r="66" spans="2:10" x14ac:dyDescent="0.25">
      <c r="B66">
        <v>471095</v>
      </c>
      <c r="C66">
        <v>285421</v>
      </c>
      <c r="D66">
        <v>244190</v>
      </c>
      <c r="H66">
        <v>163798</v>
      </c>
      <c r="I66">
        <v>55104</v>
      </c>
      <c r="J66">
        <v>45929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37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AVERAGE(Table17[Newtonsoft])</f>
        <v>370.66666666666669</v>
      </c>
      <c r="D38" s="2">
        <f>AVERAGE(Table17[Revenj])</f>
        <v>374</v>
      </c>
      <c r="E38" s="2">
        <f>AVERAGE(Table17[ProtoBuf (binary reference)])</f>
        <v>370.33333333333331</v>
      </c>
      <c r="F38" s="2">
        <f>AVERAGE(Table17[Service Stack])</f>
        <v>375.33333333333331</v>
      </c>
      <c r="G38" s="2">
        <f>AVERAGE(Table17[Jil])</f>
        <v>375.66666666666669</v>
      </c>
      <c r="H38" s="2">
        <f>AVERAGE(Table17[NetJSON])</f>
        <v>375.33333333333331</v>
      </c>
      <c r="I38" s="2">
        <f>AVERAGE(Table17[Jackson])</f>
        <v>40.666666666666664</v>
      </c>
      <c r="J38" s="2">
        <f>AVERAGE(Table17[DSL-JSON])</f>
        <v>40</v>
      </c>
      <c r="K38" s="2">
        <f>AVERAGE(Table17[Kryo (binary reference)])</f>
        <v>40</v>
      </c>
      <c r="L38" s="2">
        <f>AVERAGE(Table17[Boon])</f>
        <v>40.333333333333336</v>
      </c>
      <c r="M38" s="2">
        <f>AVERAGE(Table17[Alibaba])</f>
        <v>40</v>
      </c>
      <c r="N38" s="2">
        <f>AVERAGE(Table17[Gson])</f>
        <v>41.666666666666664</v>
      </c>
      <c r="O38" s="2"/>
      <c r="P38" s="2"/>
      <c r="Q38" s="2"/>
    </row>
    <row r="39" spans="2:17" x14ac:dyDescent="0.25">
      <c r="B39" t="s">
        <v>0</v>
      </c>
      <c r="C39" s="2">
        <f>AVERAGE(Table16[Newtonsoft]) - C38</f>
        <v>351.99999999999994</v>
      </c>
      <c r="D39" s="2">
        <f>AVERAGE(Table16[Revenj]) - D38</f>
        <v>59.666666666666686</v>
      </c>
      <c r="E39" s="2">
        <f>AVERAGE(Table16[ProtoBuf (binary reference)]) - E38</f>
        <v>151.66666666666669</v>
      </c>
      <c r="F39" s="2">
        <f>AVERAGE(Table16[Service Stack]) - F38</f>
        <v>232.00000000000006</v>
      </c>
      <c r="G39" s="2">
        <f>AVERAGE(Table16[Jil]) - G38</f>
        <v>508.66666666666669</v>
      </c>
      <c r="H39" s="2">
        <f>AVERAGE(Table16[NetJSON]) - H38</f>
        <v>170.33333333333331</v>
      </c>
      <c r="I39" s="2">
        <f>AVERAGE(Table16[Jackson]) - I38</f>
        <v>224.00000000000003</v>
      </c>
      <c r="J39" s="2">
        <f>AVERAGE(Table16[DSL-JSON]) - J38</f>
        <v>34</v>
      </c>
      <c r="K39" s="2">
        <f>AVERAGE(Table16[Kryo (binary reference)]) - K38</f>
        <v>54</v>
      </c>
      <c r="L39" s="2">
        <f>AVERAGE(Table16[Boon]) - L38</f>
        <v>549</v>
      </c>
      <c r="M39" s="2">
        <f>AVERAGE(Table16[Alibaba]) - M38</f>
        <v>541.66666666666663</v>
      </c>
      <c r="N39" s="2">
        <f>AVERAGE(Table16[Gson]) - N38</f>
        <v>563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474.66666666666657</v>
      </c>
      <c r="D40" s="2">
        <f t="shared" si="0"/>
        <v>126.33333333333331</v>
      </c>
      <c r="E40" s="2">
        <f t="shared" ref="E40" si="1">E41 - E39 - E38</f>
        <v>108</v>
      </c>
      <c r="F40" s="2">
        <f t="shared" si="0"/>
        <v>266.99999999999994</v>
      </c>
      <c r="G40" s="2">
        <f t="shared" si="0"/>
        <v>300.66666666666657</v>
      </c>
      <c r="H40" s="2">
        <f t="shared" si="0"/>
        <v>279.33333333333343</v>
      </c>
      <c r="I40" s="2">
        <f t="shared" ref="I40" si="2">I41 - I39 - I38</f>
        <v>257.33333333333331</v>
      </c>
      <c r="J40" s="2">
        <f t="shared" ref="J40" si="3">J41 - J39 - J38</f>
        <v>82</v>
      </c>
      <c r="K40" s="2">
        <f t="shared" ref="K40:L40" si="4">K41 - K39 - K38</f>
        <v>65.333333333333343</v>
      </c>
      <c r="L40" s="2">
        <f t="shared" si="4"/>
        <v>775.66666666666663</v>
      </c>
      <c r="M40" s="2">
        <f t="shared" ref="M40" si="5">M41 - M39 - M38</f>
        <v>148</v>
      </c>
      <c r="N40" s="2">
        <f t="shared" ref="N40" si="6">N41 - N39 - N38</f>
        <v>243.66666666666671</v>
      </c>
      <c r="O40" s="2"/>
      <c r="P40" s="2"/>
      <c r="Q40" s="2"/>
    </row>
    <row r="41" spans="2:17" x14ac:dyDescent="0.25">
      <c r="B41" t="s">
        <v>23</v>
      </c>
      <c r="C41" s="2">
        <f>AVERAGE(Table18[Newtonsoft])</f>
        <v>1197.3333333333333</v>
      </c>
      <c r="D41" s="2">
        <f>AVERAGE(Table18[Revenj])</f>
        <v>560</v>
      </c>
      <c r="E41" s="2">
        <f>AVERAGE(Table18[ProtoBuf (binary reference)])</f>
        <v>630</v>
      </c>
      <c r="F41" s="2">
        <f>AVERAGE(Table18[Service Stack])</f>
        <v>874.33333333333337</v>
      </c>
      <c r="G41" s="2">
        <f>AVERAGE(Table18[Jil])</f>
        <v>1185</v>
      </c>
      <c r="H41" s="2">
        <f>AVERAGE(Table18[NetJSON])</f>
        <v>825</v>
      </c>
      <c r="I41" s="2">
        <f>AVERAGE(Table18[Jackson])</f>
        <v>522</v>
      </c>
      <c r="J41" s="2">
        <f>AVERAGE(Table18[DSL-JSON])</f>
        <v>156</v>
      </c>
      <c r="K41" s="2">
        <f>AVERAGE(Table18[Kryo (binary reference)])</f>
        <v>159.33333333333334</v>
      </c>
      <c r="L41" s="2">
        <f>AVERAGE(Table18[Boon])</f>
        <v>1365</v>
      </c>
      <c r="M41" s="2">
        <f>AVERAGE(Table18[Alibaba])</f>
        <v>729.66666666666663</v>
      </c>
      <c r="N41" s="2">
        <f>AVERAGE(Table18[Gson])</f>
        <v>848.33333333333337</v>
      </c>
      <c r="O41" s="2"/>
      <c r="P41" s="2"/>
      <c r="Q41" s="2"/>
    </row>
    <row r="42" spans="2:17" x14ac:dyDescent="0.25">
      <c r="B42" t="s">
        <v>4</v>
      </c>
      <c r="C42" s="3">
        <f>AVERAGE(Table16[Newtonsoft (size)])</f>
        <v>4777780</v>
      </c>
      <c r="D42" s="3">
        <f>AVERAGE(Table16[Revenj (size)])</f>
        <v>4777768</v>
      </c>
      <c r="E42" s="3">
        <f>AVERAGE(Table16[ProtoBuf (size)])</f>
        <v>2372376</v>
      </c>
      <c r="F42" s="3">
        <f>AVERAGE(Table16[Service Stack (size)])</f>
        <v>4777780</v>
      </c>
      <c r="G42" s="2">
        <f>AVERAGE(Table16[Jil (size)])</f>
        <v>4777780</v>
      </c>
      <c r="H42" s="2">
        <f>AVERAGE(Table16[NetJSON (size)])</f>
        <v>4777768</v>
      </c>
      <c r="I42" s="2">
        <f>AVERAGE(Table16[Jackson (size)])</f>
        <v>4777780</v>
      </c>
      <c r="J42" s="2">
        <f>AVERAGE(Table16[DSL-JSON (size)])</f>
        <v>4777768</v>
      </c>
      <c r="K42" s="2">
        <f>AVERAGE(Table16[Kryo (size)])</f>
        <v>2080634</v>
      </c>
      <c r="L42" s="2">
        <f>AVERAGE(Table16[Boon (size)])</f>
        <v>4777768</v>
      </c>
      <c r="M42" s="2">
        <f>AVERAGE(Table16[Alibaba (size)])</f>
        <v>4777780</v>
      </c>
      <c r="N42" s="2">
        <f>AVERAGE(Table16[Gson (size)])</f>
        <v>4777780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DEVSQ(Table16[Newtonsoft])</f>
        <v>2.666666666666667</v>
      </c>
      <c r="D47" s="2">
        <f>DEVSQ(Table16[Revenj])</f>
        <v>0.66666666666666674</v>
      </c>
      <c r="E47" s="2">
        <f>DEVSQ(Table16[ProtoBuf (binary reference)])</f>
        <v>0</v>
      </c>
      <c r="F47" s="2">
        <f>DEVSQ(Table16[Service Stack])</f>
        <v>4.666666666666667</v>
      </c>
      <c r="G47" s="2">
        <f>DEVSQ(Table16[Jil])</f>
        <v>12.666666666666668</v>
      </c>
      <c r="H47" s="2">
        <f>DEVSQ(Table16[NetJSON])</f>
        <v>0.66666666666666663</v>
      </c>
      <c r="I47" s="2">
        <f>DEVSQ(Table16[Jackson])</f>
        <v>4.6666666666666661</v>
      </c>
      <c r="J47" s="2">
        <f>DEVSQ(Table16[DSL-JSON])</f>
        <v>2</v>
      </c>
      <c r="K47" s="2">
        <f>DEVSQ(Table16[Kryo (binary reference)])</f>
        <v>6</v>
      </c>
      <c r="L47" s="2">
        <f>DEVSQ(Table16[Boon])</f>
        <v>16.666666666666664</v>
      </c>
      <c r="M47" s="2">
        <f>DEVSQ(Table16[Alibaba])</f>
        <v>224.66666666666669</v>
      </c>
      <c r="N47" s="2">
        <f>DEVSQ(Table16[Gson])</f>
        <v>1320.6666666666665</v>
      </c>
      <c r="O47" s="2"/>
      <c r="P47" s="2"/>
      <c r="Q47" s="2"/>
    </row>
    <row r="48" spans="2:17" x14ac:dyDescent="0.25">
      <c r="B48" t="s">
        <v>23</v>
      </c>
      <c r="C48" s="2">
        <f>DEVSQ(Table18[Newtonsoft])</f>
        <v>4.6666666666666661</v>
      </c>
      <c r="D48" s="2">
        <f>DEVSQ(Table18[Revenj])</f>
        <v>2</v>
      </c>
      <c r="E48" s="2">
        <f>DEVSQ(Table18[ProtoBuf (binary reference)])</f>
        <v>6</v>
      </c>
      <c r="F48" s="2">
        <f>DEVSQ(Table18[Service Stack])</f>
        <v>4.666666666666667</v>
      </c>
      <c r="G48" s="2">
        <f>DEVSQ(Table18[Jil])</f>
        <v>24</v>
      </c>
      <c r="H48" s="2">
        <f>DEVSQ(Table18[NetJSON])</f>
        <v>2</v>
      </c>
      <c r="I48" s="2">
        <f>DEVSQ(Table18[Jackson])</f>
        <v>122</v>
      </c>
      <c r="J48" s="2">
        <f>DEVSQ(Table18[DSL-JSON])</f>
        <v>114</v>
      </c>
      <c r="K48" s="2">
        <f>DEVSQ(Table18[Kryo (binary reference)])</f>
        <v>2.6666666666666665</v>
      </c>
      <c r="L48" s="2">
        <f>DEVSQ(Table18[Boon])</f>
        <v>774</v>
      </c>
      <c r="M48" s="2">
        <f>DEVSQ(Table18[Alibaba])</f>
        <v>754.66666666666674</v>
      </c>
      <c r="N48" s="2">
        <f>DEVSQ(Table18[Gson])</f>
        <v>568.66666666666663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371</v>
      </c>
      <c r="C52">
        <v>374</v>
      </c>
      <c r="D52">
        <v>371</v>
      </c>
      <c r="E52">
        <v>375</v>
      </c>
      <c r="F52">
        <v>376</v>
      </c>
      <c r="G52">
        <v>374</v>
      </c>
      <c r="H52">
        <v>41</v>
      </c>
      <c r="I52">
        <v>40</v>
      </c>
      <c r="J52">
        <v>40</v>
      </c>
      <c r="K52">
        <v>40</v>
      </c>
      <c r="L52">
        <v>40</v>
      </c>
      <c r="M52">
        <v>41</v>
      </c>
    </row>
    <row r="53" spans="2:25" x14ac:dyDescent="0.25">
      <c r="B53">
        <v>371</v>
      </c>
      <c r="C53">
        <v>373</v>
      </c>
      <c r="D53">
        <v>371</v>
      </c>
      <c r="E53">
        <v>375</v>
      </c>
      <c r="F53">
        <v>375</v>
      </c>
      <c r="G53">
        <v>376</v>
      </c>
      <c r="H53">
        <v>40</v>
      </c>
      <c r="I53">
        <v>40</v>
      </c>
      <c r="J53">
        <v>40</v>
      </c>
      <c r="K53">
        <v>41</v>
      </c>
      <c r="L53">
        <v>40</v>
      </c>
      <c r="M53">
        <v>44</v>
      </c>
    </row>
    <row r="54" spans="2:25" x14ac:dyDescent="0.25">
      <c r="B54">
        <v>370</v>
      </c>
      <c r="C54">
        <v>375</v>
      </c>
      <c r="D54">
        <v>369</v>
      </c>
      <c r="E54">
        <v>376</v>
      </c>
      <c r="F54">
        <v>376</v>
      </c>
      <c r="G54">
        <v>376</v>
      </c>
      <c r="H54">
        <v>41</v>
      </c>
      <c r="I54">
        <v>40</v>
      </c>
      <c r="J54">
        <v>40</v>
      </c>
      <c r="K54">
        <v>40</v>
      </c>
      <c r="L54">
        <v>40</v>
      </c>
      <c r="M54">
        <v>40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722</v>
      </c>
      <c r="C58">
        <v>434</v>
      </c>
      <c r="D58">
        <v>522</v>
      </c>
      <c r="E58">
        <v>606</v>
      </c>
      <c r="F58">
        <v>887</v>
      </c>
      <c r="G58">
        <v>545</v>
      </c>
      <c r="H58">
        <v>265</v>
      </c>
      <c r="I58">
        <v>75</v>
      </c>
      <c r="J58">
        <v>95</v>
      </c>
      <c r="K58">
        <v>591</v>
      </c>
      <c r="L58">
        <v>593</v>
      </c>
      <c r="M58">
        <v>575</v>
      </c>
      <c r="N58">
        <v>4777780</v>
      </c>
      <c r="O58">
        <v>4777768</v>
      </c>
      <c r="P58">
        <v>2372376</v>
      </c>
      <c r="Q58">
        <v>4777780</v>
      </c>
      <c r="R58">
        <v>4777780</v>
      </c>
      <c r="S58">
        <v>4777768</v>
      </c>
      <c r="T58">
        <v>4777780</v>
      </c>
      <c r="U58">
        <v>4777768</v>
      </c>
      <c r="V58">
        <v>2080634</v>
      </c>
      <c r="W58">
        <v>4777768</v>
      </c>
      <c r="X58">
        <v>4777780</v>
      </c>
      <c r="Y58">
        <v>4777780</v>
      </c>
    </row>
    <row r="59" spans="2:25" x14ac:dyDescent="0.25">
      <c r="B59">
        <v>724</v>
      </c>
      <c r="C59">
        <v>433</v>
      </c>
      <c r="D59">
        <v>522</v>
      </c>
      <c r="E59">
        <v>609</v>
      </c>
      <c r="F59">
        <v>884</v>
      </c>
      <c r="G59">
        <v>546</v>
      </c>
      <c r="H59">
        <v>266</v>
      </c>
      <c r="I59">
        <v>74</v>
      </c>
      <c r="J59">
        <v>92</v>
      </c>
      <c r="K59">
        <v>591</v>
      </c>
      <c r="L59">
        <v>572</v>
      </c>
      <c r="M59">
        <v>619</v>
      </c>
      <c r="N59">
        <v>4777780</v>
      </c>
      <c r="O59">
        <v>4777768</v>
      </c>
      <c r="P59">
        <v>2372376</v>
      </c>
      <c r="Q59">
        <v>4777780</v>
      </c>
      <c r="R59">
        <v>4777780</v>
      </c>
      <c r="S59">
        <v>4777768</v>
      </c>
      <c r="T59">
        <v>4777780</v>
      </c>
      <c r="U59">
        <v>4777768</v>
      </c>
      <c r="V59">
        <v>2080634</v>
      </c>
      <c r="W59">
        <v>4777768</v>
      </c>
      <c r="X59">
        <v>4777780</v>
      </c>
      <c r="Y59">
        <v>4777780</v>
      </c>
    </row>
    <row r="60" spans="2:25" x14ac:dyDescent="0.25">
      <c r="B60">
        <v>722</v>
      </c>
      <c r="C60">
        <v>434</v>
      </c>
      <c r="D60">
        <v>522</v>
      </c>
      <c r="E60">
        <v>607</v>
      </c>
      <c r="F60">
        <v>882</v>
      </c>
      <c r="G60">
        <v>546</v>
      </c>
      <c r="H60">
        <v>263</v>
      </c>
      <c r="I60">
        <v>73</v>
      </c>
      <c r="J60">
        <v>95</v>
      </c>
      <c r="K60">
        <v>586</v>
      </c>
      <c r="L60">
        <v>580</v>
      </c>
      <c r="M60">
        <v>620</v>
      </c>
      <c r="N60">
        <v>4777780</v>
      </c>
      <c r="O60">
        <v>4777768</v>
      </c>
      <c r="P60">
        <v>2372376</v>
      </c>
      <c r="Q60">
        <v>4777780</v>
      </c>
      <c r="R60">
        <v>4777780</v>
      </c>
      <c r="S60">
        <v>4777768</v>
      </c>
      <c r="T60">
        <v>4777780</v>
      </c>
      <c r="U60">
        <v>4777768</v>
      </c>
      <c r="V60">
        <v>2080634</v>
      </c>
      <c r="W60">
        <v>4777768</v>
      </c>
      <c r="X60">
        <v>4777780</v>
      </c>
      <c r="Y60">
        <v>4777780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1197</v>
      </c>
      <c r="C64">
        <v>561</v>
      </c>
      <c r="D64">
        <v>632</v>
      </c>
      <c r="E64">
        <v>876</v>
      </c>
      <c r="F64">
        <v>1187</v>
      </c>
      <c r="G64">
        <v>824</v>
      </c>
      <c r="H64">
        <v>517</v>
      </c>
      <c r="I64">
        <v>157</v>
      </c>
      <c r="J64">
        <v>158</v>
      </c>
      <c r="K64">
        <v>1383</v>
      </c>
      <c r="L64">
        <v>713</v>
      </c>
      <c r="M64">
        <v>860</v>
      </c>
    </row>
    <row r="65" spans="2:13" x14ac:dyDescent="0.25">
      <c r="B65">
        <v>1199</v>
      </c>
      <c r="C65">
        <v>559</v>
      </c>
      <c r="D65">
        <v>629</v>
      </c>
      <c r="E65">
        <v>874</v>
      </c>
      <c r="F65">
        <v>1181</v>
      </c>
      <c r="G65">
        <v>825</v>
      </c>
      <c r="H65">
        <v>518</v>
      </c>
      <c r="I65">
        <v>148</v>
      </c>
      <c r="J65">
        <v>160</v>
      </c>
      <c r="K65">
        <v>1344</v>
      </c>
      <c r="L65">
        <v>725</v>
      </c>
      <c r="M65">
        <v>829</v>
      </c>
    </row>
    <row r="66" spans="2:13" x14ac:dyDescent="0.25">
      <c r="B66">
        <v>1196</v>
      </c>
      <c r="C66">
        <v>560</v>
      </c>
      <c r="D66">
        <v>629</v>
      </c>
      <c r="E66">
        <v>873</v>
      </c>
      <c r="F66">
        <v>1187</v>
      </c>
      <c r="G66">
        <v>826</v>
      </c>
      <c r="H66">
        <v>531</v>
      </c>
      <c r="I66">
        <v>163</v>
      </c>
      <c r="J66">
        <v>160</v>
      </c>
      <c r="K66">
        <v>1368</v>
      </c>
      <c r="L66">
        <v>751</v>
      </c>
      <c r="M66">
        <v>856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38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AVERAGE(Table22[Newtonsoft])</f>
        <v>862.66666666666663</v>
      </c>
      <c r="D38" s="2">
        <f>AVERAGE(Table22[Revenj])</f>
        <v>894</v>
      </c>
      <c r="E38" s="2">
        <f>AVERAGE(Table22[ProtoBuf (binary reference)])</f>
        <v>853.33333333333337</v>
      </c>
      <c r="F38" s="2">
        <f>AVERAGE(Table22[Service Stack])</f>
        <v>866</v>
      </c>
      <c r="G38" s="2">
        <f>AVERAGE(Table22[Jil])</f>
        <v>875.66666666666663</v>
      </c>
      <c r="H38" s="2">
        <f>AVERAGE(Table22[NetJSON])</f>
        <v>874.66666666666663</v>
      </c>
      <c r="I38" s="2">
        <f>AVERAGE(Table22[Jackson])</f>
        <v>117.33333333333333</v>
      </c>
      <c r="J38" s="2">
        <f>AVERAGE(Table22[DSL-JSON])</f>
        <v>115.33333333333333</v>
      </c>
      <c r="K38" s="2">
        <f>AVERAGE(Table22[Kryo (binary reference)])</f>
        <v>114</v>
      </c>
      <c r="L38" s="2">
        <f>AVERAGE(Table22[Boon])</f>
        <v>115.33333333333333</v>
      </c>
      <c r="M38" s="2">
        <f>AVERAGE(Table22[Alibaba])</f>
        <v>115</v>
      </c>
      <c r="N38" s="2">
        <f>AVERAGE(Table22[Gson])</f>
        <v>123.33333333333333</v>
      </c>
      <c r="O38" s="2"/>
      <c r="P38" s="2"/>
      <c r="Q38" s="2"/>
    </row>
    <row r="39" spans="2:17" x14ac:dyDescent="0.25">
      <c r="B39" t="s">
        <v>0</v>
      </c>
      <c r="C39" s="2">
        <f>AVERAGE(Table21[Newtonsoft]) - C38</f>
        <v>2021.3333333333335</v>
      </c>
      <c r="D39" s="2">
        <f>AVERAGE(Table21[Revenj]) - D38</f>
        <v>544</v>
      </c>
      <c r="E39" s="2">
        <f>AVERAGE(Table21[ProtoBuf (binary reference)]) - E38</f>
        <v>576.66666666666663</v>
      </c>
      <c r="F39" s="2">
        <f>AVERAGE(Table21[Service Stack]) - F38</f>
        <v>1373.6666666666665</v>
      </c>
      <c r="G39" s="2">
        <f>AVERAGE(Table21[Jil]) - G38</f>
        <v>1767.666666666667</v>
      </c>
      <c r="H39" s="2">
        <f>AVERAGE(Table21[NetJSON]) - H38</f>
        <v>863.66666666666663</v>
      </c>
      <c r="I39" s="2">
        <f>AVERAGE(Table21[Jackson]) - I38</f>
        <v>531.66666666666663</v>
      </c>
      <c r="J39" s="2">
        <f>AVERAGE(Table21[DSL-JSON]) - J38</f>
        <v>162.33333333333337</v>
      </c>
      <c r="K39" s="2">
        <f>AVERAGE(Table21[Kryo (binary reference)]) - K38</f>
        <v>177.66666666666669</v>
      </c>
      <c r="L39" s="2">
        <f>AVERAGE(Table21[Boon]) - L38</f>
        <v>3099.333333333333</v>
      </c>
      <c r="M39" s="2">
        <f>AVERAGE(Table21[Alibaba]) - M38</f>
        <v>2868.3333333333335</v>
      </c>
      <c r="N39" s="2">
        <f>AVERAGE(Table21[Gson]) - N38</f>
        <v>3660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4110.333333333333</v>
      </c>
      <c r="D40" s="2">
        <f t="shared" si="0"/>
        <v>1119.3333333333335</v>
      </c>
      <c r="E40" s="2">
        <f t="shared" ref="E40" si="1">E41 - E39 - E38</f>
        <v>1024.3333333333335</v>
      </c>
      <c r="F40" s="2">
        <f t="shared" si="0"/>
        <v>2370.0000000000005</v>
      </c>
      <c r="G40" s="2">
        <f t="shared" si="0"/>
        <v>1713.6666666666665</v>
      </c>
      <c r="H40" s="2">
        <f t="shared" si="0"/>
        <v>2773</v>
      </c>
      <c r="I40" s="2">
        <f t="shared" ref="I40" si="2">I41 - I39 - I38</f>
        <v>895.33333333333326</v>
      </c>
      <c r="J40" s="2">
        <f t="shared" ref="J40" si="3">J41 - J39 - J38</f>
        <v>231.33333333333331</v>
      </c>
      <c r="K40" s="2">
        <f t="shared" ref="K40:L40" si="4">K41 - K39 - K38</f>
        <v>191.66666666666663</v>
      </c>
      <c r="L40" s="2">
        <f t="shared" si="4"/>
        <v>5934.3333333333339</v>
      </c>
      <c r="M40" s="2">
        <f t="shared" ref="M40" si="5">M41 - M39 - M38</f>
        <v>672.66666666666652</v>
      </c>
      <c r="N40" s="2">
        <f t="shared" ref="N40" si="6">N41 - N39 - N38</f>
        <v>1415.6666666666667</v>
      </c>
      <c r="O40" s="2"/>
      <c r="P40" s="2"/>
      <c r="Q40" s="2"/>
    </row>
    <row r="41" spans="2:17" x14ac:dyDescent="0.25">
      <c r="B41" t="s">
        <v>23</v>
      </c>
      <c r="C41" s="2">
        <f>AVERAGE(Table23[Newtonsoft])</f>
        <v>6994.333333333333</v>
      </c>
      <c r="D41" s="2">
        <f>AVERAGE(Table23[Revenj])</f>
        <v>2557.3333333333335</v>
      </c>
      <c r="E41" s="2">
        <f>AVERAGE(Table23[ProtoBuf (binary reference)])</f>
        <v>2454.3333333333335</v>
      </c>
      <c r="F41" s="2">
        <f>AVERAGE(Table23[Service Stack])</f>
        <v>4609.666666666667</v>
      </c>
      <c r="G41" s="2">
        <f>AVERAGE(Table23[Jil])</f>
        <v>4357</v>
      </c>
      <c r="H41" s="2">
        <f>AVERAGE(Table23[NetJSON])</f>
        <v>4511.333333333333</v>
      </c>
      <c r="I41" s="2">
        <f>AVERAGE(Table23[Jackson])</f>
        <v>1544.3333333333333</v>
      </c>
      <c r="J41" s="2">
        <f>AVERAGE(Table23[DSL-JSON])</f>
        <v>509</v>
      </c>
      <c r="K41" s="2">
        <f>AVERAGE(Table23[Kryo (binary reference)])</f>
        <v>483.33333333333331</v>
      </c>
      <c r="L41" s="2">
        <f>AVERAGE(Table23[Boon])</f>
        <v>9149</v>
      </c>
      <c r="M41" s="2">
        <f>AVERAGE(Table23[Alibaba])</f>
        <v>3656</v>
      </c>
      <c r="N41" s="2">
        <f>AVERAGE(Table23[Gson])</f>
        <v>5199</v>
      </c>
      <c r="O41" s="2"/>
      <c r="P41" s="2"/>
      <c r="Q41" s="2"/>
    </row>
    <row r="42" spans="2:17" x14ac:dyDescent="0.25">
      <c r="B42" t="s">
        <v>4</v>
      </c>
      <c r="C42" s="3">
        <f>AVERAGE(Table21[Newtonsoft (size)])</f>
        <v>49777780</v>
      </c>
      <c r="D42" s="3">
        <f>AVERAGE(Table21[Revenj (size)])</f>
        <v>49777768</v>
      </c>
      <c r="E42" s="3">
        <f>AVERAGE(Table21[ProtoBuf (size)])</f>
        <v>24872376</v>
      </c>
      <c r="F42" s="3">
        <f>AVERAGE(Table21[Service Stack (size)])</f>
        <v>49777780</v>
      </c>
      <c r="G42" s="2">
        <f>AVERAGE(Table21[Jil (size)])</f>
        <v>49777780</v>
      </c>
      <c r="H42" s="2">
        <f>AVERAGE(Table21[NetJSON (size)])</f>
        <v>49777768</v>
      </c>
      <c r="I42" s="2">
        <f>AVERAGE(Table21[Jackson (size)])</f>
        <v>49777780</v>
      </c>
      <c r="J42" s="2">
        <f>AVERAGE(Table21[DSL-JSON (size)])</f>
        <v>49777768</v>
      </c>
      <c r="K42" s="2">
        <f>AVERAGE(Table21[Kryo (size)])</f>
        <v>21880634</v>
      </c>
      <c r="L42" s="2">
        <f>AVERAGE(Table21[Boon (size)])</f>
        <v>49777768</v>
      </c>
      <c r="M42" s="2">
        <f>AVERAGE(Table21[Alibaba (size)])</f>
        <v>49777780</v>
      </c>
      <c r="N42" s="2">
        <f>AVERAGE(Table21[Gson (size)])</f>
        <v>49777780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DEVSQ(Table21[Newtonsoft])</f>
        <v>744</v>
      </c>
      <c r="D47" s="2">
        <f>DEVSQ(Table21[Revenj])</f>
        <v>6</v>
      </c>
      <c r="E47" s="2">
        <f>DEVSQ(Table21[ProtoBuf (binary reference)])</f>
        <v>96</v>
      </c>
      <c r="F47" s="2">
        <f>DEVSQ(Table21[Service Stack])</f>
        <v>20.666666666666664</v>
      </c>
      <c r="G47" s="2">
        <f>DEVSQ(Table21[Jil])</f>
        <v>1298.6666666666665</v>
      </c>
      <c r="H47" s="2">
        <f>DEVSQ(Table21[NetJSON])</f>
        <v>210.66666666666666</v>
      </c>
      <c r="I47" s="2">
        <f>DEVSQ(Table21[Jackson])</f>
        <v>194</v>
      </c>
      <c r="J47" s="2">
        <f>DEVSQ(Table21[DSL-JSON])</f>
        <v>66.666666666666671</v>
      </c>
      <c r="K47" s="2">
        <f>DEVSQ(Table21[Kryo (binary reference)])</f>
        <v>24.666666666666668</v>
      </c>
      <c r="L47" s="2">
        <f>DEVSQ(Table21[Boon])</f>
        <v>32216.666666666664</v>
      </c>
      <c r="M47" s="2">
        <f>DEVSQ(Table21[Alibaba])</f>
        <v>17112.666666666668</v>
      </c>
      <c r="N47" s="2">
        <f>DEVSQ(Table21[Gson])</f>
        <v>28692.666666666668</v>
      </c>
      <c r="O47" s="2"/>
      <c r="P47" s="2"/>
      <c r="Q47" s="2"/>
    </row>
    <row r="48" spans="2:17" x14ac:dyDescent="0.25">
      <c r="B48" t="s">
        <v>23</v>
      </c>
      <c r="C48" s="2">
        <f>DEVSQ(Table23[Newtonsoft])</f>
        <v>1264.6666666666665</v>
      </c>
      <c r="D48" s="2">
        <f>DEVSQ(Table23[Revenj])</f>
        <v>18.666666666666664</v>
      </c>
      <c r="E48" s="2">
        <f>DEVSQ(Table23[ProtoBuf (binary reference)])</f>
        <v>312.66666666666663</v>
      </c>
      <c r="F48" s="2">
        <f>DEVSQ(Table23[Service Stack])</f>
        <v>964.66666666666652</v>
      </c>
      <c r="G48" s="2">
        <f>DEVSQ(Table23[Jil])</f>
        <v>38</v>
      </c>
      <c r="H48" s="2">
        <f>DEVSQ(Table23[NetJSON])</f>
        <v>650.66666666666663</v>
      </c>
      <c r="I48" s="2">
        <f>DEVSQ(Table23[Jackson])</f>
        <v>32308.666666666664</v>
      </c>
      <c r="J48" s="2">
        <f>DEVSQ(Table23[DSL-JSON])</f>
        <v>72</v>
      </c>
      <c r="K48" s="2">
        <f>DEVSQ(Table23[Kryo (binary reference)])</f>
        <v>28.666666666666668</v>
      </c>
      <c r="L48" s="2">
        <f>DEVSQ(Table23[Boon])</f>
        <v>310982</v>
      </c>
      <c r="M48" s="2">
        <f>DEVSQ(Table23[Alibaba])</f>
        <v>38066</v>
      </c>
      <c r="N48" s="2">
        <f>DEVSQ(Table23[Gson])</f>
        <v>26138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861</v>
      </c>
      <c r="C52">
        <v>895</v>
      </c>
      <c r="D52">
        <v>856</v>
      </c>
      <c r="E52">
        <v>862</v>
      </c>
      <c r="F52">
        <v>878</v>
      </c>
      <c r="G52">
        <v>875</v>
      </c>
      <c r="H52">
        <v>115</v>
      </c>
      <c r="I52">
        <v>115</v>
      </c>
      <c r="J52">
        <v>114</v>
      </c>
      <c r="K52">
        <v>117</v>
      </c>
      <c r="L52">
        <v>116</v>
      </c>
      <c r="M52">
        <v>117</v>
      </c>
    </row>
    <row r="53" spans="2:25" x14ac:dyDescent="0.25">
      <c r="B53">
        <v>864</v>
      </c>
      <c r="C53">
        <v>892</v>
      </c>
      <c r="D53">
        <v>852</v>
      </c>
      <c r="E53">
        <v>873</v>
      </c>
      <c r="F53">
        <v>873</v>
      </c>
      <c r="G53">
        <v>873</v>
      </c>
      <c r="H53">
        <v>119</v>
      </c>
      <c r="I53">
        <v>115</v>
      </c>
      <c r="J53">
        <v>113</v>
      </c>
      <c r="K53">
        <v>115</v>
      </c>
      <c r="L53">
        <v>115</v>
      </c>
      <c r="M53">
        <v>116</v>
      </c>
    </row>
    <row r="54" spans="2:25" x14ac:dyDescent="0.25">
      <c r="B54">
        <v>863</v>
      </c>
      <c r="C54">
        <v>895</v>
      </c>
      <c r="D54">
        <v>852</v>
      </c>
      <c r="E54">
        <v>863</v>
      </c>
      <c r="F54">
        <v>876</v>
      </c>
      <c r="G54">
        <v>876</v>
      </c>
      <c r="H54">
        <v>118</v>
      </c>
      <c r="I54">
        <v>116</v>
      </c>
      <c r="J54">
        <v>115</v>
      </c>
      <c r="K54">
        <v>114</v>
      </c>
      <c r="L54">
        <v>114</v>
      </c>
      <c r="M54">
        <v>137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2876</v>
      </c>
      <c r="C58">
        <v>1437</v>
      </c>
      <c r="D58">
        <v>1438</v>
      </c>
      <c r="E58">
        <v>2236</v>
      </c>
      <c r="F58">
        <v>2614</v>
      </c>
      <c r="G58">
        <v>1747</v>
      </c>
      <c r="H58">
        <v>641</v>
      </c>
      <c r="I58">
        <v>281</v>
      </c>
      <c r="J58">
        <v>288</v>
      </c>
      <c r="K58">
        <v>3318</v>
      </c>
      <c r="L58">
        <v>2917</v>
      </c>
      <c r="M58">
        <v>3649</v>
      </c>
      <c r="N58">
        <v>49777780</v>
      </c>
      <c r="O58">
        <v>49777768</v>
      </c>
      <c r="P58">
        <v>24872376</v>
      </c>
      <c r="Q58">
        <v>49777780</v>
      </c>
      <c r="R58">
        <v>49777780</v>
      </c>
      <c r="S58">
        <v>49777768</v>
      </c>
      <c r="T58">
        <v>49777780</v>
      </c>
      <c r="U58">
        <v>49777768</v>
      </c>
      <c r="V58">
        <v>21880634</v>
      </c>
      <c r="W58">
        <v>49777768</v>
      </c>
      <c r="X58">
        <v>49777780</v>
      </c>
      <c r="Y58">
        <v>49777780</v>
      </c>
    </row>
    <row r="59" spans="2:25" x14ac:dyDescent="0.25">
      <c r="B59">
        <v>2870</v>
      </c>
      <c r="C59">
        <v>1437</v>
      </c>
      <c r="D59">
        <v>1426</v>
      </c>
      <c r="E59">
        <v>2241</v>
      </c>
      <c r="F59">
        <v>2656</v>
      </c>
      <c r="G59">
        <v>1741</v>
      </c>
      <c r="H59">
        <v>660</v>
      </c>
      <c r="I59">
        <v>281</v>
      </c>
      <c r="J59">
        <v>295</v>
      </c>
      <c r="K59">
        <v>3253</v>
      </c>
      <c r="L59">
        <v>2944</v>
      </c>
      <c r="M59">
        <v>3879</v>
      </c>
      <c r="N59">
        <v>49777780</v>
      </c>
      <c r="O59">
        <v>49777768</v>
      </c>
      <c r="P59">
        <v>24872376</v>
      </c>
      <c r="Q59">
        <v>49777780</v>
      </c>
      <c r="R59">
        <v>49777780</v>
      </c>
      <c r="S59">
        <v>49777768</v>
      </c>
      <c r="T59">
        <v>49777780</v>
      </c>
      <c r="U59">
        <v>49777768</v>
      </c>
      <c r="V59">
        <v>21880634</v>
      </c>
      <c r="W59">
        <v>49777768</v>
      </c>
      <c r="X59">
        <v>49777780</v>
      </c>
      <c r="Y59">
        <v>49777780</v>
      </c>
    </row>
    <row r="60" spans="2:25" x14ac:dyDescent="0.25">
      <c r="B60">
        <v>2906</v>
      </c>
      <c r="C60">
        <v>1440</v>
      </c>
      <c r="D60">
        <v>1426</v>
      </c>
      <c r="E60">
        <v>2242</v>
      </c>
      <c r="F60">
        <v>2660</v>
      </c>
      <c r="G60">
        <v>1727</v>
      </c>
      <c r="H60">
        <v>646</v>
      </c>
      <c r="I60">
        <v>271</v>
      </c>
      <c r="J60">
        <v>292</v>
      </c>
      <c r="K60">
        <v>3073</v>
      </c>
      <c r="L60">
        <v>3089</v>
      </c>
      <c r="M60">
        <v>3822</v>
      </c>
      <c r="N60">
        <v>49777780</v>
      </c>
      <c r="O60">
        <v>49777768</v>
      </c>
      <c r="P60">
        <v>24872376</v>
      </c>
      <c r="Q60">
        <v>49777780</v>
      </c>
      <c r="R60">
        <v>49777780</v>
      </c>
      <c r="S60">
        <v>49777768</v>
      </c>
      <c r="T60">
        <v>49777780</v>
      </c>
      <c r="U60">
        <v>49777768</v>
      </c>
      <c r="V60">
        <v>21880634</v>
      </c>
      <c r="W60">
        <v>49777768</v>
      </c>
      <c r="X60">
        <v>49777780</v>
      </c>
      <c r="Y60">
        <v>49777780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7014</v>
      </c>
      <c r="C64">
        <v>2554</v>
      </c>
      <c r="D64">
        <v>2467</v>
      </c>
      <c r="E64">
        <v>4598</v>
      </c>
      <c r="F64">
        <v>4360</v>
      </c>
      <c r="G64">
        <v>4494</v>
      </c>
      <c r="H64">
        <v>1456</v>
      </c>
      <c r="I64">
        <v>509</v>
      </c>
      <c r="J64">
        <v>485</v>
      </c>
      <c r="K64">
        <v>8795</v>
      </c>
      <c r="L64">
        <v>3800</v>
      </c>
      <c r="M64">
        <v>5179</v>
      </c>
    </row>
    <row r="65" spans="2:13" x14ac:dyDescent="0.25">
      <c r="B65">
        <v>7003</v>
      </c>
      <c r="C65">
        <v>2558</v>
      </c>
      <c r="D65">
        <v>2454</v>
      </c>
      <c r="E65">
        <v>4635</v>
      </c>
      <c r="F65">
        <v>4359</v>
      </c>
      <c r="G65">
        <v>4530</v>
      </c>
      <c r="H65">
        <v>1690</v>
      </c>
      <c r="I65">
        <v>515</v>
      </c>
      <c r="J65">
        <v>486</v>
      </c>
      <c r="K65">
        <v>9078</v>
      </c>
      <c r="L65">
        <v>3643</v>
      </c>
      <c r="M65">
        <v>5322</v>
      </c>
    </row>
    <row r="66" spans="2:13" x14ac:dyDescent="0.25">
      <c r="B66">
        <v>6966</v>
      </c>
      <c r="C66">
        <v>2560</v>
      </c>
      <c r="D66">
        <v>2442</v>
      </c>
      <c r="E66">
        <v>4596</v>
      </c>
      <c r="F66">
        <v>4352</v>
      </c>
      <c r="G66">
        <v>4510</v>
      </c>
      <c r="H66">
        <v>1487</v>
      </c>
      <c r="I66">
        <v>503</v>
      </c>
      <c r="J66">
        <v>479</v>
      </c>
      <c r="K66">
        <v>9574</v>
      </c>
      <c r="L66">
        <v>3525</v>
      </c>
      <c r="M66">
        <v>5096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39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AVERAGE(Table27[Newtonsoft])</f>
        <v>5883.666666666667</v>
      </c>
      <c r="D38" s="2">
        <f>AVERAGE(Table27[Revenj])</f>
        <v>6158.333333333333</v>
      </c>
      <c r="E38" s="2">
        <f>AVERAGE(Table27[ProtoBuf (binary reference)])</f>
        <v>5771.333333333333</v>
      </c>
      <c r="F38" s="2">
        <f>AVERAGE(Table27[Service Stack])</f>
        <v>5851.666666666667</v>
      </c>
      <c r="G38" s="2">
        <f>AVERAGE(Table27[Jil])</f>
        <v>5917.333333333333</v>
      </c>
      <c r="H38" s="2">
        <f>AVERAGE(Table27[NetJSON])</f>
        <v>5973</v>
      </c>
      <c r="I38" s="2">
        <f>AVERAGE(Table27[Jackson])</f>
        <v>656.66666666666663</v>
      </c>
      <c r="J38" s="2">
        <f>AVERAGE(Table27[DSL-JSON])</f>
        <v>635.33333333333337</v>
      </c>
      <c r="K38" s="2">
        <f>AVERAGE(Table27[Kryo (binary reference)])</f>
        <v>624</v>
      </c>
      <c r="L38" s="2">
        <f>AVERAGE(Table27[Boon])</f>
        <v>610</v>
      </c>
      <c r="M38" s="2">
        <f>AVERAGE(Table27[Alibaba])</f>
        <v>625.66666666666663</v>
      </c>
      <c r="N38" s="2">
        <f>AVERAGE(Table27[Gson])</f>
        <v>643.66666666666663</v>
      </c>
      <c r="O38" s="2"/>
      <c r="P38" s="2"/>
      <c r="Q38" s="2"/>
    </row>
    <row r="39" spans="2:17" x14ac:dyDescent="0.25">
      <c r="B39" t="s">
        <v>0</v>
      </c>
      <c r="C39" s="2">
        <f>AVERAGE(Table26[Newtonsoft]) - C38</f>
        <v>18832.666666666664</v>
      </c>
      <c r="D39" s="2">
        <f>AVERAGE(Table26[Revenj]) - D38</f>
        <v>5477.333333333333</v>
      </c>
      <c r="E39" s="2">
        <f>AVERAGE(Table26[ProtoBuf (binary reference)]) - E38</f>
        <v>4714.333333333333</v>
      </c>
      <c r="F39" s="2">
        <f>AVERAGE(Table26[Service Stack]) - F38</f>
        <v>12745.666666666664</v>
      </c>
      <c r="G39" s="2">
        <f>AVERAGE(Table26[Jil]) - G38</f>
        <v>14446</v>
      </c>
      <c r="H39" s="2">
        <f>AVERAGE(Table26[NetJSON]) - H38</f>
        <v>7690.6666666666661</v>
      </c>
      <c r="I39" s="2">
        <f>AVERAGE(Table26[Jackson]) - I38</f>
        <v>4180.333333333333</v>
      </c>
      <c r="J39" s="2">
        <f>AVERAGE(Table26[DSL-JSON]) - J38</f>
        <v>1428</v>
      </c>
      <c r="K39" s="2">
        <f>AVERAGE(Table26[Kryo (binary reference)]) - K38</f>
        <v>1400.6666666666667</v>
      </c>
      <c r="L39" s="2">
        <f>AVERAGE(Table26[Boon]) - L38</f>
        <v>26694.333333333332</v>
      </c>
      <c r="M39" s="2">
        <f>AVERAGE(Table26[Alibaba]) - M38</f>
        <v>24102</v>
      </c>
      <c r="N39" s="2">
        <f>AVERAGE(Table26[Gson]) - N38</f>
        <v>31824.333333333332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40892.333333333343</v>
      </c>
      <c r="D40" s="2">
        <f t="shared" si="0"/>
        <v>11109.666666666668</v>
      </c>
      <c r="E40" s="2">
        <f t="shared" ref="E40" si="1">E41 - E39 - E38</f>
        <v>10243.666666666668</v>
      </c>
      <c r="F40" s="2">
        <f t="shared" si="0"/>
        <v>23204.333333333332</v>
      </c>
      <c r="G40" s="2">
        <f t="shared" si="0"/>
        <v>16447.000000000004</v>
      </c>
      <c r="H40" s="2">
        <f t="shared" si="0"/>
        <v>27439.666666666672</v>
      </c>
      <c r="I40" s="2">
        <f t="shared" ref="I40" si="2">I41 - I39 - I38</f>
        <v>6005.6666666666661</v>
      </c>
      <c r="J40" s="2">
        <f t="shared" ref="J40" si="3">J41 - J39 - J38</f>
        <v>1942</v>
      </c>
      <c r="K40" s="2">
        <f t="shared" ref="K40:L40" si="4">K41 - K39 - K38</f>
        <v>1636.666666666667</v>
      </c>
      <c r="L40" s="2">
        <f t="shared" si="4"/>
        <v>54901</v>
      </c>
      <c r="M40" s="2">
        <f t="shared" ref="M40" si="5">M41 - M39 - M38</f>
        <v>4333.6666666666652</v>
      </c>
      <c r="N40" s="2">
        <f t="shared" ref="N40" si="6">N41 - N39 - N38</f>
        <v>13302.000000000002</v>
      </c>
      <c r="O40" s="2"/>
      <c r="P40" s="2"/>
      <c r="Q40" s="2"/>
    </row>
    <row r="41" spans="2:17" x14ac:dyDescent="0.25">
      <c r="B41" t="s">
        <v>23</v>
      </c>
      <c r="C41" s="2">
        <f>AVERAGE(Table28[Newtonsoft])</f>
        <v>65608.666666666672</v>
      </c>
      <c r="D41" s="2">
        <f>AVERAGE(Table28[Revenj])</f>
        <v>22745.333333333332</v>
      </c>
      <c r="E41" s="2">
        <f>AVERAGE(Table28[ProtoBuf (binary reference)])</f>
        <v>20729.333333333332</v>
      </c>
      <c r="F41" s="2">
        <f>AVERAGE(Table28[Service Stack])</f>
        <v>41801.666666666664</v>
      </c>
      <c r="G41" s="2">
        <f>AVERAGE(Table28[Jil])</f>
        <v>36810.333333333336</v>
      </c>
      <c r="H41" s="2">
        <f>AVERAGE(Table28[NetJSON])</f>
        <v>41103.333333333336</v>
      </c>
      <c r="I41" s="2">
        <f>AVERAGE(Table28[Jackson])</f>
        <v>10842.666666666666</v>
      </c>
      <c r="J41" s="2">
        <f>AVERAGE(Table28[DSL-JSON])</f>
        <v>4005.3333333333335</v>
      </c>
      <c r="K41" s="2">
        <f>AVERAGE(Table28[Kryo (binary reference)])</f>
        <v>3661.3333333333335</v>
      </c>
      <c r="L41" s="2">
        <f>AVERAGE(Table28[Boon])</f>
        <v>82205.333333333328</v>
      </c>
      <c r="M41" s="2">
        <f>AVERAGE(Table28[Alibaba])</f>
        <v>29061.333333333332</v>
      </c>
      <c r="N41" s="2">
        <f>AVERAGE(Table28[Gson])</f>
        <v>45770</v>
      </c>
      <c r="O41" s="2"/>
      <c r="P41" s="2"/>
      <c r="Q41" s="2"/>
    </row>
    <row r="42" spans="2:17" x14ac:dyDescent="0.25">
      <c r="B42" t="s">
        <v>4</v>
      </c>
      <c r="C42" s="3">
        <f>AVERAGE(Table26[Newtonsoft (size)])</f>
        <v>517777780</v>
      </c>
      <c r="D42" s="3">
        <f>AVERAGE(Table26[Revenj (size)])</f>
        <v>517777768</v>
      </c>
      <c r="E42" s="3">
        <f>AVERAGE(Table26[ProtoBuf (size)])</f>
        <v>266775224</v>
      </c>
      <c r="F42" s="3">
        <f>AVERAGE(Table26[Service Stack (size)])</f>
        <v>517777780</v>
      </c>
      <c r="G42" s="2">
        <f>AVERAGE(Table26[Jil (size)])</f>
        <v>517777780</v>
      </c>
      <c r="H42" s="2">
        <f>AVERAGE(Table26[NetJSON (size)])</f>
        <v>517777768</v>
      </c>
      <c r="I42" s="2">
        <f>AVERAGE(Table26[Jackson (size)])</f>
        <v>517777780</v>
      </c>
      <c r="J42" s="2">
        <f>AVERAGE(Table26[DSL-JSON (size)])</f>
        <v>517777768</v>
      </c>
      <c r="K42" s="2">
        <f>AVERAGE(Table26[Kryo (size)])</f>
        <v>237832058</v>
      </c>
      <c r="L42" s="2">
        <f>AVERAGE(Table26[Boon (size)])</f>
        <v>517777768</v>
      </c>
      <c r="M42" s="2">
        <f>AVERAGE(Table26[Alibaba (size)])</f>
        <v>517777780</v>
      </c>
      <c r="N42" s="2">
        <f>AVERAGE(Table26[Gson (size)])</f>
        <v>517777780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DEVSQ(Table26[Newtonsoft])</f>
        <v>172.66666666666669</v>
      </c>
      <c r="D47" s="2">
        <f>DEVSQ(Table26[Revenj])</f>
        <v>780.66666666666674</v>
      </c>
      <c r="E47" s="2">
        <f>DEVSQ(Table26[ProtoBuf (binary reference)])</f>
        <v>204.66666666666666</v>
      </c>
      <c r="F47" s="2">
        <f>DEVSQ(Table26[Service Stack])</f>
        <v>1012.6666666666666</v>
      </c>
      <c r="G47" s="2">
        <f>DEVSQ(Table26[Jil])</f>
        <v>338448.66666666669</v>
      </c>
      <c r="H47" s="2">
        <f>DEVSQ(Table26[NetJSON])</f>
        <v>13572.666666666666</v>
      </c>
      <c r="I47" s="2">
        <f>DEVSQ(Table26[Jackson])</f>
        <v>412814</v>
      </c>
      <c r="J47" s="2">
        <f>DEVSQ(Table26[DSL-JSON])</f>
        <v>68.666666666666671</v>
      </c>
      <c r="K47" s="2">
        <f>DEVSQ(Table26[Kryo (binary reference)])</f>
        <v>2616.666666666667</v>
      </c>
      <c r="L47" s="2">
        <f>DEVSQ(Table26[Boon])</f>
        <v>35344.666666666664</v>
      </c>
      <c r="M47" s="2">
        <f>DEVSQ(Table26[Alibaba])</f>
        <v>15944.666666666666</v>
      </c>
      <c r="N47" s="2">
        <f>DEVSQ(Table26[Gson])</f>
        <v>41706</v>
      </c>
      <c r="O47" s="2"/>
      <c r="P47" s="2"/>
      <c r="Q47" s="2"/>
    </row>
    <row r="48" spans="2:17" x14ac:dyDescent="0.25">
      <c r="B48" t="s">
        <v>23</v>
      </c>
      <c r="C48" s="2">
        <f>DEVSQ(Table28[Newtonsoft])</f>
        <v>8112.6666666666661</v>
      </c>
      <c r="D48" s="2">
        <f>DEVSQ(Table28[Revenj])</f>
        <v>4138.666666666667</v>
      </c>
      <c r="E48" s="2">
        <f>DEVSQ(Table28[ProtoBuf (binary reference)])</f>
        <v>32452.666666666664</v>
      </c>
      <c r="F48" s="2">
        <f>DEVSQ(Table28[Service Stack])</f>
        <v>26824.666666666668</v>
      </c>
      <c r="G48" s="2">
        <f>DEVSQ(Table28[Jil])</f>
        <v>50312.666666666672</v>
      </c>
      <c r="H48" s="2">
        <f>DEVSQ(Table28[NetJSON])</f>
        <v>55440.666666666657</v>
      </c>
      <c r="I48" s="2">
        <f>DEVSQ(Table28[Jackson])</f>
        <v>910794.66666666663</v>
      </c>
      <c r="J48" s="2">
        <f>DEVSQ(Table28[DSL-JSON])</f>
        <v>2034.666666666667</v>
      </c>
      <c r="K48" s="2">
        <f>DEVSQ(Table28[Kryo (binary reference)])</f>
        <v>32888.666666666664</v>
      </c>
      <c r="L48" s="2">
        <f>DEVSQ(Table28[Boon])</f>
        <v>4303068.666666667</v>
      </c>
      <c r="M48" s="2">
        <f>DEVSQ(Table28[Alibaba])</f>
        <v>931184.66666666663</v>
      </c>
      <c r="N48" s="2">
        <f>DEVSQ(Table28[Gson])</f>
        <v>1114334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5888</v>
      </c>
      <c r="C52">
        <v>6221</v>
      </c>
      <c r="D52">
        <v>5717</v>
      </c>
      <c r="E52">
        <v>5847</v>
      </c>
      <c r="F52">
        <v>5904</v>
      </c>
      <c r="G52">
        <v>5944</v>
      </c>
      <c r="H52">
        <v>641</v>
      </c>
      <c r="I52">
        <v>642</v>
      </c>
      <c r="J52">
        <v>609</v>
      </c>
      <c r="K52">
        <v>627</v>
      </c>
      <c r="L52">
        <v>638</v>
      </c>
      <c r="M52">
        <v>637</v>
      </c>
    </row>
    <row r="53" spans="2:25" x14ac:dyDescent="0.25">
      <c r="B53">
        <v>5891</v>
      </c>
      <c r="C53">
        <v>6122</v>
      </c>
      <c r="D53">
        <v>5877</v>
      </c>
      <c r="E53">
        <v>5863</v>
      </c>
      <c r="F53">
        <v>5940</v>
      </c>
      <c r="G53">
        <v>6005</v>
      </c>
      <c r="H53">
        <v>639</v>
      </c>
      <c r="I53">
        <v>635</v>
      </c>
      <c r="J53">
        <v>630</v>
      </c>
      <c r="K53">
        <v>599</v>
      </c>
      <c r="L53">
        <v>643</v>
      </c>
      <c r="M53">
        <v>652</v>
      </c>
    </row>
    <row r="54" spans="2:25" x14ac:dyDescent="0.25">
      <c r="B54">
        <v>5872</v>
      </c>
      <c r="C54">
        <v>6132</v>
      </c>
      <c r="D54">
        <v>5720</v>
      </c>
      <c r="E54">
        <v>5845</v>
      </c>
      <c r="F54">
        <v>5908</v>
      </c>
      <c r="G54">
        <v>5970</v>
      </c>
      <c r="H54">
        <v>690</v>
      </c>
      <c r="I54">
        <v>629</v>
      </c>
      <c r="J54">
        <v>633</v>
      </c>
      <c r="K54">
        <v>604</v>
      </c>
      <c r="L54">
        <v>596</v>
      </c>
      <c r="M54">
        <v>642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24712</v>
      </c>
      <c r="C58">
        <v>11632</v>
      </c>
      <c r="D58">
        <v>10492</v>
      </c>
      <c r="E58">
        <v>18623</v>
      </c>
      <c r="F58">
        <v>20741</v>
      </c>
      <c r="G58">
        <v>13736</v>
      </c>
      <c r="H58">
        <v>4611</v>
      </c>
      <c r="I58">
        <v>2059</v>
      </c>
      <c r="J58">
        <v>2048</v>
      </c>
      <c r="K58">
        <v>27249</v>
      </c>
      <c r="L58">
        <v>24646</v>
      </c>
      <c r="M58">
        <v>32312</v>
      </c>
      <c r="N58">
        <v>517777780</v>
      </c>
      <c r="O58">
        <v>517777768</v>
      </c>
      <c r="P58">
        <v>266775224</v>
      </c>
      <c r="Q58">
        <v>517777780</v>
      </c>
      <c r="R58">
        <v>517777780</v>
      </c>
      <c r="S58">
        <v>517777768</v>
      </c>
      <c r="T58">
        <v>517777780</v>
      </c>
      <c r="U58">
        <v>517777768</v>
      </c>
      <c r="V58">
        <v>237832058</v>
      </c>
      <c r="W58">
        <v>517777768</v>
      </c>
      <c r="X58">
        <v>517777780</v>
      </c>
      <c r="Y58">
        <v>517777780</v>
      </c>
    </row>
    <row r="59" spans="2:25" x14ac:dyDescent="0.25">
      <c r="B59">
        <v>24710</v>
      </c>
      <c r="C59">
        <v>11618</v>
      </c>
      <c r="D59">
        <v>10491</v>
      </c>
      <c r="E59">
        <v>18581</v>
      </c>
      <c r="F59">
        <v>19925</v>
      </c>
      <c r="G59">
        <v>13574</v>
      </c>
      <c r="H59">
        <v>5360</v>
      </c>
      <c r="I59">
        <v>2061</v>
      </c>
      <c r="J59">
        <v>1983</v>
      </c>
      <c r="K59">
        <v>27456</v>
      </c>
      <c r="L59">
        <v>24714</v>
      </c>
      <c r="M59">
        <v>32495</v>
      </c>
      <c r="N59">
        <v>517777780</v>
      </c>
      <c r="O59">
        <v>517777768</v>
      </c>
      <c r="P59">
        <v>266775224</v>
      </c>
      <c r="Q59">
        <v>517777780</v>
      </c>
      <c r="R59">
        <v>517777780</v>
      </c>
      <c r="S59">
        <v>517777768</v>
      </c>
      <c r="T59">
        <v>517777780</v>
      </c>
      <c r="U59">
        <v>517777768</v>
      </c>
      <c r="V59">
        <v>237832058</v>
      </c>
      <c r="W59">
        <v>517777768</v>
      </c>
      <c r="X59">
        <v>517777780</v>
      </c>
      <c r="Y59">
        <v>517777780</v>
      </c>
    </row>
    <row r="60" spans="2:25" x14ac:dyDescent="0.25">
      <c r="B60">
        <v>24727</v>
      </c>
      <c r="C60">
        <v>11657</v>
      </c>
      <c r="D60">
        <v>10474</v>
      </c>
      <c r="E60">
        <v>18588</v>
      </c>
      <c r="F60">
        <v>20424</v>
      </c>
      <c r="G60">
        <v>13681</v>
      </c>
      <c r="H60">
        <v>4540</v>
      </c>
      <c r="I60">
        <v>2070</v>
      </c>
      <c r="J60">
        <v>2043</v>
      </c>
      <c r="K60">
        <v>27208</v>
      </c>
      <c r="L60">
        <v>24823</v>
      </c>
      <c r="M60">
        <v>32597</v>
      </c>
      <c r="N60">
        <v>517777780</v>
      </c>
      <c r="O60">
        <v>517777768</v>
      </c>
      <c r="P60">
        <v>266775224</v>
      </c>
      <c r="Q60">
        <v>517777780</v>
      </c>
      <c r="R60">
        <v>517777780</v>
      </c>
      <c r="S60">
        <v>517777768</v>
      </c>
      <c r="T60">
        <v>517777780</v>
      </c>
      <c r="U60">
        <v>517777768</v>
      </c>
      <c r="V60">
        <v>237832058</v>
      </c>
      <c r="W60">
        <v>517777768</v>
      </c>
      <c r="X60">
        <v>517777780</v>
      </c>
      <c r="Y60">
        <v>517777780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65561</v>
      </c>
      <c r="C64">
        <v>22708</v>
      </c>
      <c r="D64">
        <v>20689</v>
      </c>
      <c r="E64">
        <v>41872</v>
      </c>
      <c r="F64">
        <v>36683</v>
      </c>
      <c r="G64">
        <v>41292</v>
      </c>
      <c r="H64">
        <v>10188</v>
      </c>
      <c r="I64">
        <v>4032</v>
      </c>
      <c r="J64">
        <v>3578</v>
      </c>
      <c r="K64">
        <v>80616</v>
      </c>
      <c r="L64">
        <v>29198</v>
      </c>
      <c r="M64">
        <v>46347</v>
      </c>
    </row>
    <row r="65" spans="2:13" x14ac:dyDescent="0.25">
      <c r="B65">
        <v>65681</v>
      </c>
      <c r="C65">
        <v>22732</v>
      </c>
      <c r="D65">
        <v>20872</v>
      </c>
      <c r="E65">
        <v>41668</v>
      </c>
      <c r="F65">
        <v>36760</v>
      </c>
      <c r="G65">
        <v>40977</v>
      </c>
      <c r="H65">
        <v>10804</v>
      </c>
      <c r="I65">
        <v>3970</v>
      </c>
      <c r="J65">
        <v>3809</v>
      </c>
      <c r="K65">
        <v>83507</v>
      </c>
      <c r="L65">
        <v>28321</v>
      </c>
      <c r="M65">
        <v>46036</v>
      </c>
    </row>
    <row r="66" spans="2:13" x14ac:dyDescent="0.25">
      <c r="B66">
        <v>65584</v>
      </c>
      <c r="C66">
        <v>22796</v>
      </c>
      <c r="D66">
        <v>20627</v>
      </c>
      <c r="E66">
        <v>41865</v>
      </c>
      <c r="F66">
        <v>36988</v>
      </c>
      <c r="G66">
        <v>41041</v>
      </c>
      <c r="H66">
        <v>11536</v>
      </c>
      <c r="I66">
        <v>4014</v>
      </c>
      <c r="J66">
        <v>3597</v>
      </c>
      <c r="K66">
        <v>82493</v>
      </c>
      <c r="L66">
        <v>29665</v>
      </c>
      <c r="M66">
        <v>44927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40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AVERAGE(Table32[Newtonsoft])</f>
        <v>70.666666666666671</v>
      </c>
      <c r="D38" s="2">
        <f>AVERAGE(Table32[Revenj])</f>
        <v>68</v>
      </c>
      <c r="E38" s="2">
        <f>AVERAGE(Table32[ProtoBuf (binary reference)])</f>
        <v>69.666666666666671</v>
      </c>
      <c r="F38" s="2">
        <f>AVERAGE(Table32[Service Stack])</f>
        <v>68.666666666666671</v>
      </c>
      <c r="G38" s="2">
        <f>AVERAGE(Table32[Jil])</f>
        <v>68</v>
      </c>
      <c r="H38" s="2">
        <f>AVERAGE(Table32[NetJSON])</f>
        <v>68.333333333333329</v>
      </c>
      <c r="I38" s="2">
        <f>AVERAGE(Table32[Jackson])</f>
        <v>73.333333333333329</v>
      </c>
      <c r="J38" s="2">
        <f>AVERAGE(Table32[DSL-JSON])</f>
        <v>72.333333333333329</v>
      </c>
      <c r="K38" s="2">
        <f>AVERAGE(Table32[Kryo (binary reference)])</f>
        <v>71.666666666666671</v>
      </c>
      <c r="L38" s="2">
        <f>AVERAGE(Table32[Boon])</f>
        <v>65.333333333333329</v>
      </c>
      <c r="M38" s="2">
        <f>AVERAGE(Table32[Alibaba])</f>
        <v>68.333333333333329</v>
      </c>
      <c r="N38" s="2">
        <f>AVERAGE(Table32[Gson])</f>
        <v>72</v>
      </c>
      <c r="O38" s="2"/>
      <c r="P38" s="2"/>
      <c r="Q38" s="2"/>
    </row>
    <row r="39" spans="2:17" x14ac:dyDescent="0.25">
      <c r="B39" t="s">
        <v>0</v>
      </c>
      <c r="C39" s="2">
        <f>AVERAGE(Table31[Newtonsoft]) - C38</f>
        <v>365.66666666666663</v>
      </c>
      <c r="D39" s="2">
        <f>AVERAGE(Table31[Revenj]) - D38</f>
        <v>151.66666666666666</v>
      </c>
      <c r="E39" s="2">
        <f>AVERAGE(Table31[ProtoBuf (binary reference)]) - E38</f>
        <v>69.666666666666671</v>
      </c>
      <c r="F39" s="2">
        <f>AVERAGE(Table31[Service Stack]) - F38</f>
        <v>335.66666666666663</v>
      </c>
      <c r="G39" s="2">
        <f>AVERAGE(Table31[Jil]) - G38</f>
        <v>248.33333333333331</v>
      </c>
      <c r="H39" s="2">
        <f>AVERAGE(Table31[NetJSON]) - H38</f>
        <v>184.66666666666669</v>
      </c>
      <c r="I39" s="2">
        <f>AVERAGE(Table31[Jackson]) - I38</f>
        <v>160</v>
      </c>
      <c r="J39" s="2">
        <f>AVERAGE(Table31[DSL-JSON]) - J38</f>
        <v>108.33333333333333</v>
      </c>
      <c r="K39" s="2">
        <f>AVERAGE(Table31[Kryo (binary reference)]) - K38</f>
        <v>103.33333333333333</v>
      </c>
      <c r="L39" s="2">
        <f>AVERAGE(Table31[Boon]) - L38</f>
        <v>423</v>
      </c>
      <c r="M39" s="2">
        <f>AVERAGE(Table31[Alibaba]) - M38</f>
        <v>390.33333333333337</v>
      </c>
      <c r="N39" s="2">
        <f>AVERAGE(Table31[Gson]) - N38</f>
        <v>503.66666666666663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597</v>
      </c>
      <c r="D40" s="2">
        <f t="shared" si="0"/>
        <v>132.00000000000003</v>
      </c>
      <c r="E40" s="2">
        <f t="shared" ref="E40" si="1">E41 - E39 - E38</f>
        <v>101.33333333333333</v>
      </c>
      <c r="F40" s="2">
        <f t="shared" si="0"/>
        <v>344.66666666666669</v>
      </c>
      <c r="G40" s="2">
        <f t="shared" si="0"/>
        <v>180.66666666666669</v>
      </c>
      <c r="H40" s="2">
        <f t="shared" si="0"/>
        <v>340.66666666666663</v>
      </c>
      <c r="I40" s="2">
        <f t="shared" ref="I40" si="2">I41 - I39 - I38</f>
        <v>201.66666666666669</v>
      </c>
      <c r="J40" s="2">
        <f t="shared" ref="J40" si="3">J41 - J39 - J38</f>
        <v>103.66666666666667</v>
      </c>
      <c r="K40" s="2">
        <f t="shared" ref="K40:L40" si="4">K41 - K39 - K38</f>
        <v>128.33333333333331</v>
      </c>
      <c r="L40" s="2">
        <f t="shared" si="4"/>
        <v>780.99999999999989</v>
      </c>
      <c r="M40" s="2">
        <f t="shared" ref="M40" si="5">M41 - M39 - M38</f>
        <v>212.33333333333331</v>
      </c>
      <c r="N40" s="2">
        <f t="shared" ref="N40" si="6">N41 - N39 - N38</f>
        <v>309.66666666666674</v>
      </c>
      <c r="O40" s="2"/>
      <c r="P40" s="2"/>
      <c r="Q40" s="2"/>
    </row>
    <row r="41" spans="2:17" x14ac:dyDescent="0.25">
      <c r="B41" t="s">
        <v>23</v>
      </c>
      <c r="C41" s="2">
        <f>AVERAGE(Table33[Newtonsoft])</f>
        <v>1033.3333333333333</v>
      </c>
      <c r="D41" s="2">
        <f>AVERAGE(Table33[Revenj])</f>
        <v>351.66666666666669</v>
      </c>
      <c r="E41" s="2">
        <f>AVERAGE(Table33[ProtoBuf (binary reference)])</f>
        <v>240.66666666666666</v>
      </c>
      <c r="F41" s="2">
        <f>AVERAGE(Table33[Service Stack])</f>
        <v>749</v>
      </c>
      <c r="G41" s="2">
        <f>AVERAGE(Table33[Jil])</f>
        <v>497</v>
      </c>
      <c r="H41" s="2">
        <f>AVERAGE(Table33[NetJSON])</f>
        <v>593.66666666666663</v>
      </c>
      <c r="I41" s="2">
        <f>AVERAGE(Table33[Jackson])</f>
        <v>435</v>
      </c>
      <c r="J41" s="2">
        <f>AVERAGE(Table33[DSL-JSON])</f>
        <v>284.33333333333331</v>
      </c>
      <c r="K41" s="2">
        <f>AVERAGE(Table33[Kryo (binary reference)])</f>
        <v>303.33333333333331</v>
      </c>
      <c r="L41" s="2">
        <f>AVERAGE(Table33[Boon])</f>
        <v>1269.3333333333333</v>
      </c>
      <c r="M41" s="2">
        <f>AVERAGE(Table33[Alibaba])</f>
        <v>671</v>
      </c>
      <c r="N41" s="2">
        <f>AVERAGE(Table33[Gson])</f>
        <v>885.33333333333337</v>
      </c>
      <c r="O41" s="2"/>
      <c r="P41" s="2"/>
      <c r="Q41" s="2"/>
    </row>
    <row r="42" spans="2:17" x14ac:dyDescent="0.25">
      <c r="B42" t="s">
        <v>4</v>
      </c>
      <c r="C42" s="3">
        <f>AVERAGE(Table31[Newtonsoft (size)])</f>
        <v>3346889</v>
      </c>
      <c r="D42" s="3">
        <f>AVERAGE(Table31[Revenj (size)])</f>
        <v>3346472</v>
      </c>
      <c r="E42" s="3">
        <f>AVERAGE(Table31[ProtoBuf (size)])</f>
        <v>1658087</v>
      </c>
      <c r="F42" s="3">
        <f>AVERAGE(Table31[Service Stack (size)])</f>
        <v>3346489</v>
      </c>
      <c r="G42" s="2">
        <f>AVERAGE(Table31[Jil (size)])</f>
        <v>3346489</v>
      </c>
      <c r="H42" s="2">
        <f>AVERAGE(Table31[NetJSON (size)])</f>
        <v>3346472</v>
      </c>
      <c r="I42" s="2">
        <f>AVERAGE(Table31[Jackson (size)])</f>
        <v>3346889</v>
      </c>
      <c r="J42" s="2">
        <f>AVERAGE(Table31[DSL-JSON (size)])</f>
        <v>3346472</v>
      </c>
      <c r="K42" s="2">
        <f>AVERAGE(Table31[Kryo (size)])</f>
        <v>3351895</v>
      </c>
      <c r="L42" s="2">
        <f>AVERAGE(Table31[Boon (size)])</f>
        <v>3346875</v>
      </c>
      <c r="M42" s="2">
        <f>AVERAGE(Table31[Alibaba (size)])</f>
        <v>3346689</v>
      </c>
      <c r="N42" s="2">
        <f>AVERAGE(Table31[Gson (size)])</f>
        <v>3346889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DEVSQ(Table31[Newtonsoft])</f>
        <v>0.66666666666666674</v>
      </c>
      <c r="D47" s="2">
        <f>DEVSQ(Table31[Revenj])</f>
        <v>0.66666666666666674</v>
      </c>
      <c r="E47" s="2">
        <f>DEVSQ(Table31[ProtoBuf (binary reference)])</f>
        <v>0.66666666666666674</v>
      </c>
      <c r="F47" s="2">
        <f>DEVSQ(Table31[Service Stack])</f>
        <v>4.6666666666666661</v>
      </c>
      <c r="G47" s="2">
        <f>DEVSQ(Table31[Jil])</f>
        <v>44.666666666666671</v>
      </c>
      <c r="H47" s="2">
        <f>DEVSQ(Table31[NetJSON])</f>
        <v>0</v>
      </c>
      <c r="I47" s="2">
        <f>DEVSQ(Table31[Jackson])</f>
        <v>984.66666666666674</v>
      </c>
      <c r="J47" s="2">
        <f>DEVSQ(Table31[DSL-JSON])</f>
        <v>208.66666666666666</v>
      </c>
      <c r="K47" s="2">
        <f>DEVSQ(Table31[Kryo (binary reference)])</f>
        <v>24</v>
      </c>
      <c r="L47" s="2">
        <f>DEVSQ(Table31[Boon])</f>
        <v>284.66666666666663</v>
      </c>
      <c r="M47" s="2">
        <f>DEVSQ(Table31[Alibaba])</f>
        <v>88.666666666666671</v>
      </c>
      <c r="N47" s="2">
        <f>DEVSQ(Table31[Gson])</f>
        <v>68.666666666666657</v>
      </c>
      <c r="O47" s="2"/>
      <c r="P47" s="2"/>
      <c r="Q47" s="2"/>
    </row>
    <row r="48" spans="2:17" x14ac:dyDescent="0.25">
      <c r="B48" t="s">
        <v>23</v>
      </c>
      <c r="C48" s="2">
        <f>DEVSQ(Table33[Newtonsoft])</f>
        <v>4.666666666666667</v>
      </c>
      <c r="D48" s="2">
        <f>DEVSQ(Table33[Revenj])</f>
        <v>18.666666666666668</v>
      </c>
      <c r="E48" s="2">
        <f>DEVSQ(Table33[ProtoBuf (binary reference)])</f>
        <v>42.666666666666671</v>
      </c>
      <c r="F48" s="2">
        <f>DEVSQ(Table33[Service Stack])</f>
        <v>86</v>
      </c>
      <c r="G48" s="2">
        <f>DEVSQ(Table33[Jil])</f>
        <v>14</v>
      </c>
      <c r="H48" s="2">
        <f>DEVSQ(Table33[NetJSON])</f>
        <v>16.666666666666664</v>
      </c>
      <c r="I48" s="2">
        <f>DEVSQ(Table33[Jackson])</f>
        <v>216</v>
      </c>
      <c r="J48" s="2">
        <f>DEVSQ(Table33[DSL-JSON])</f>
        <v>52.666666666666671</v>
      </c>
      <c r="K48" s="2">
        <f>DEVSQ(Table33[Kryo (binary reference)])</f>
        <v>74.666666666666671</v>
      </c>
      <c r="L48" s="2">
        <f>DEVSQ(Table33[Boon])</f>
        <v>578.66666666666674</v>
      </c>
      <c r="M48" s="2">
        <f>DEVSQ(Table33[Alibaba])</f>
        <v>366</v>
      </c>
      <c r="N48" s="2">
        <f>DEVSQ(Table33[Gson])</f>
        <v>3224.666666666667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72</v>
      </c>
      <c r="C52">
        <v>68</v>
      </c>
      <c r="D52">
        <v>70</v>
      </c>
      <c r="E52">
        <v>68</v>
      </c>
      <c r="F52">
        <v>68</v>
      </c>
      <c r="G52">
        <v>68</v>
      </c>
      <c r="H52">
        <v>77</v>
      </c>
      <c r="I52">
        <v>73</v>
      </c>
      <c r="J52">
        <v>69</v>
      </c>
      <c r="K52">
        <v>62</v>
      </c>
      <c r="L52">
        <v>71</v>
      </c>
      <c r="M52">
        <v>73</v>
      </c>
    </row>
    <row r="53" spans="2:25" x14ac:dyDescent="0.25">
      <c r="B53">
        <v>70</v>
      </c>
      <c r="C53">
        <v>68</v>
      </c>
      <c r="D53">
        <v>70</v>
      </c>
      <c r="E53">
        <v>68</v>
      </c>
      <c r="F53">
        <v>68</v>
      </c>
      <c r="G53">
        <v>69</v>
      </c>
      <c r="H53">
        <v>71</v>
      </c>
      <c r="I53">
        <v>71</v>
      </c>
      <c r="J53">
        <v>71</v>
      </c>
      <c r="K53">
        <v>73</v>
      </c>
      <c r="L53">
        <v>72</v>
      </c>
      <c r="M53">
        <v>70</v>
      </c>
    </row>
    <row r="54" spans="2:25" x14ac:dyDescent="0.25">
      <c r="B54">
        <v>70</v>
      </c>
      <c r="C54">
        <v>68</v>
      </c>
      <c r="D54">
        <v>69</v>
      </c>
      <c r="E54">
        <v>70</v>
      </c>
      <c r="F54">
        <v>68</v>
      </c>
      <c r="G54">
        <v>68</v>
      </c>
      <c r="H54">
        <v>72</v>
      </c>
      <c r="I54">
        <v>73</v>
      </c>
      <c r="J54">
        <v>75</v>
      </c>
      <c r="K54">
        <v>61</v>
      </c>
      <c r="L54">
        <v>62</v>
      </c>
      <c r="M54">
        <v>73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436</v>
      </c>
      <c r="C58">
        <v>219</v>
      </c>
      <c r="D58">
        <v>139</v>
      </c>
      <c r="E58">
        <v>404</v>
      </c>
      <c r="F58">
        <v>311</v>
      </c>
      <c r="G58">
        <v>253</v>
      </c>
      <c r="H58">
        <v>258</v>
      </c>
      <c r="I58">
        <v>169</v>
      </c>
      <c r="J58">
        <v>173</v>
      </c>
      <c r="K58">
        <v>502</v>
      </c>
      <c r="L58">
        <v>457</v>
      </c>
      <c r="M58">
        <v>580</v>
      </c>
      <c r="N58">
        <v>3346889</v>
      </c>
      <c r="O58">
        <v>3346472</v>
      </c>
      <c r="P58">
        <v>1658087</v>
      </c>
      <c r="Q58">
        <v>3346489</v>
      </c>
      <c r="R58">
        <v>3346489</v>
      </c>
      <c r="S58">
        <v>3346472</v>
      </c>
      <c r="T58">
        <v>3346889</v>
      </c>
      <c r="U58">
        <v>3346472</v>
      </c>
      <c r="V58">
        <v>3351895</v>
      </c>
      <c r="W58">
        <v>3346875</v>
      </c>
      <c r="X58">
        <v>3346689</v>
      </c>
      <c r="Y58">
        <v>3346889</v>
      </c>
    </row>
    <row r="59" spans="2:25" x14ac:dyDescent="0.25">
      <c r="B59">
        <v>436</v>
      </c>
      <c r="C59">
        <v>220</v>
      </c>
      <c r="D59">
        <v>139</v>
      </c>
      <c r="E59">
        <v>406</v>
      </c>
      <c r="F59">
        <v>320</v>
      </c>
      <c r="G59">
        <v>253</v>
      </c>
      <c r="H59">
        <v>227</v>
      </c>
      <c r="I59">
        <v>185</v>
      </c>
      <c r="J59">
        <v>173</v>
      </c>
      <c r="K59">
        <v>483</v>
      </c>
      <c r="L59">
        <v>453</v>
      </c>
      <c r="M59">
        <v>578</v>
      </c>
      <c r="N59">
        <v>3346889</v>
      </c>
      <c r="O59">
        <v>3346472</v>
      </c>
      <c r="P59">
        <v>1658087</v>
      </c>
      <c r="Q59">
        <v>3346489</v>
      </c>
      <c r="R59">
        <v>3346489</v>
      </c>
      <c r="S59">
        <v>3346472</v>
      </c>
      <c r="T59">
        <v>3346889</v>
      </c>
      <c r="U59">
        <v>3346472</v>
      </c>
      <c r="V59">
        <v>3351895</v>
      </c>
      <c r="W59">
        <v>3346875</v>
      </c>
      <c r="X59">
        <v>3346689</v>
      </c>
      <c r="Y59">
        <v>3346889</v>
      </c>
    </row>
    <row r="60" spans="2:25" x14ac:dyDescent="0.25">
      <c r="B60">
        <v>437</v>
      </c>
      <c r="C60">
        <v>220</v>
      </c>
      <c r="D60">
        <v>140</v>
      </c>
      <c r="E60">
        <v>403</v>
      </c>
      <c r="F60">
        <v>318</v>
      </c>
      <c r="G60">
        <v>253</v>
      </c>
      <c r="H60">
        <v>215</v>
      </c>
      <c r="I60">
        <v>188</v>
      </c>
      <c r="J60">
        <v>179</v>
      </c>
      <c r="K60">
        <v>480</v>
      </c>
      <c r="L60">
        <v>466</v>
      </c>
      <c r="M60">
        <v>569</v>
      </c>
      <c r="N60">
        <v>3346889</v>
      </c>
      <c r="O60">
        <v>3346472</v>
      </c>
      <c r="P60">
        <v>1658087</v>
      </c>
      <c r="Q60">
        <v>3346489</v>
      </c>
      <c r="R60">
        <v>3346489</v>
      </c>
      <c r="S60">
        <v>3346472</v>
      </c>
      <c r="T60">
        <v>3346889</v>
      </c>
      <c r="U60">
        <v>3346472</v>
      </c>
      <c r="V60">
        <v>3351895</v>
      </c>
      <c r="W60">
        <v>3346875</v>
      </c>
      <c r="X60">
        <v>3346689</v>
      </c>
      <c r="Y60">
        <v>3346889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1035</v>
      </c>
      <c r="C64">
        <v>355</v>
      </c>
      <c r="D64">
        <v>238</v>
      </c>
      <c r="E64">
        <v>748</v>
      </c>
      <c r="F64">
        <v>495</v>
      </c>
      <c r="G64">
        <v>592</v>
      </c>
      <c r="H64">
        <v>441</v>
      </c>
      <c r="I64">
        <v>290</v>
      </c>
      <c r="J64">
        <v>302</v>
      </c>
      <c r="K64">
        <v>1276</v>
      </c>
      <c r="L64">
        <v>658</v>
      </c>
      <c r="M64">
        <v>839</v>
      </c>
    </row>
    <row r="65" spans="2:13" x14ac:dyDescent="0.25">
      <c r="B65">
        <v>1032</v>
      </c>
      <c r="C65">
        <v>349</v>
      </c>
      <c r="D65">
        <v>246</v>
      </c>
      <c r="E65">
        <v>743</v>
      </c>
      <c r="F65">
        <v>496</v>
      </c>
      <c r="G65">
        <v>597</v>
      </c>
      <c r="H65">
        <v>423</v>
      </c>
      <c r="I65">
        <v>283</v>
      </c>
      <c r="J65">
        <v>310</v>
      </c>
      <c r="K65">
        <v>1250</v>
      </c>
      <c r="L65">
        <v>685</v>
      </c>
      <c r="M65">
        <v>910</v>
      </c>
    </row>
    <row r="66" spans="2:13" x14ac:dyDescent="0.25">
      <c r="B66">
        <v>1033</v>
      </c>
      <c r="C66">
        <v>351</v>
      </c>
      <c r="D66">
        <v>238</v>
      </c>
      <c r="E66">
        <v>756</v>
      </c>
      <c r="F66">
        <v>500</v>
      </c>
      <c r="G66">
        <v>592</v>
      </c>
      <c r="H66">
        <v>441</v>
      </c>
      <c r="I66">
        <v>280</v>
      </c>
      <c r="J66">
        <v>298</v>
      </c>
      <c r="K66">
        <v>1282</v>
      </c>
      <c r="L66">
        <v>670</v>
      </c>
      <c r="M66">
        <v>907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41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AVERAGE(Table37[Newtonsoft])</f>
        <v>581.66666666666663</v>
      </c>
      <c r="D38" s="2">
        <f>AVERAGE(Table37[Revenj])</f>
        <v>555.66666666666663</v>
      </c>
      <c r="E38" s="2">
        <f>AVERAGE(Table37[ProtoBuf (binary reference)])</f>
        <v>577</v>
      </c>
      <c r="F38" s="2">
        <f>AVERAGE(Table37[Service Stack])</f>
        <v>556.33333333333337</v>
      </c>
      <c r="G38" s="2">
        <f>AVERAGE(Table37[Jil])</f>
        <v>554</v>
      </c>
      <c r="H38" s="2">
        <f>AVERAGE(Table37[NetJSON])</f>
        <v>561</v>
      </c>
      <c r="I38" s="2">
        <f>AVERAGE(Table37[Jackson])</f>
        <v>346.66666666666669</v>
      </c>
      <c r="J38" s="2">
        <f>AVERAGE(Table37[DSL-JSON])</f>
        <v>345.33333333333331</v>
      </c>
      <c r="K38" s="2">
        <f>AVERAGE(Table37[Kryo (binary reference)])</f>
        <v>344.33333333333331</v>
      </c>
      <c r="L38" s="2">
        <f>AVERAGE(Table37[Boon])</f>
        <v>342</v>
      </c>
      <c r="M38" s="2">
        <f>AVERAGE(Table37[Alibaba])</f>
        <v>357.66666666666669</v>
      </c>
      <c r="N38" s="2">
        <f>AVERAGE(Table37[Gson])</f>
        <v>349.33333333333331</v>
      </c>
      <c r="O38" s="2"/>
      <c r="P38" s="2"/>
      <c r="Q38" s="2"/>
    </row>
    <row r="39" spans="2:17" x14ac:dyDescent="0.25">
      <c r="B39" t="s">
        <v>0</v>
      </c>
      <c r="C39" s="2">
        <f>AVERAGE(Table36[Newtonsoft]) - C38</f>
        <v>3684.3333333333335</v>
      </c>
      <c r="D39" s="2">
        <f>AVERAGE(Table36[Revenj]) - D38</f>
        <v>1515</v>
      </c>
      <c r="E39" s="2">
        <f>AVERAGE(Table36[ProtoBuf (binary reference)]) - E38</f>
        <v>610</v>
      </c>
      <c r="F39" s="2">
        <f>AVERAGE(Table36[Service Stack]) - F38</f>
        <v>3174.333333333333</v>
      </c>
      <c r="G39" s="2">
        <f>AVERAGE(Table36[Jil]) - G38</f>
        <v>2404</v>
      </c>
      <c r="H39" s="2">
        <f>AVERAGE(Table36[NetJSON]) - H38</f>
        <v>1775.6666666666665</v>
      </c>
      <c r="I39" s="2">
        <f>AVERAGE(Table36[Jackson]) - I38</f>
        <v>775.66666666666652</v>
      </c>
      <c r="J39" s="2">
        <f>AVERAGE(Table36[DSL-JSON]) - J38</f>
        <v>470.00000000000006</v>
      </c>
      <c r="K39" s="2">
        <f>AVERAGE(Table36[Kryo (binary reference)]) - K38</f>
        <v>420.00000000000006</v>
      </c>
      <c r="L39" s="2">
        <f>AVERAGE(Table36[Boon]) - L38</f>
        <v>3230</v>
      </c>
      <c r="M39" s="2">
        <f>AVERAGE(Table36[Alibaba]) - M38</f>
        <v>2671.3333333333335</v>
      </c>
      <c r="N39" s="2">
        <f>AVERAGE(Table36[Gson]) - N38</f>
        <v>3776.3333333333335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5935.9999999999991</v>
      </c>
      <c r="D40" s="2">
        <f t="shared" si="0"/>
        <v>1268.3333333333335</v>
      </c>
      <c r="E40" s="2">
        <f t="shared" ref="E40" si="1">E41 - E39 - E38</f>
        <v>969.33333333333348</v>
      </c>
      <c r="F40" s="2">
        <f t="shared" si="0"/>
        <v>3329.3333333333335</v>
      </c>
      <c r="G40" s="2">
        <f t="shared" si="0"/>
        <v>1759.333333333333</v>
      </c>
      <c r="H40" s="2">
        <f t="shared" si="0"/>
        <v>3447.6666666666665</v>
      </c>
      <c r="I40" s="2">
        <f t="shared" ref="I40" si="2">I41 - I39 - I38</f>
        <v>1186.0000000000002</v>
      </c>
      <c r="J40" s="2">
        <f t="shared" ref="J40" si="3">J41 - J39 - J38</f>
        <v>421.66666666666669</v>
      </c>
      <c r="K40" s="2">
        <f t="shared" ref="K40:L40" si="4">K41 - K39 - K38</f>
        <v>514</v>
      </c>
      <c r="L40" s="2">
        <f t="shared" si="4"/>
        <v>6634.6666666666661</v>
      </c>
      <c r="M40" s="2">
        <f t="shared" ref="M40" si="5">M41 - M39 - M38</f>
        <v>1137.9999999999998</v>
      </c>
      <c r="N40" s="2">
        <f t="shared" ref="N40" si="6">N41 - N39 - N38</f>
        <v>1969.6666666666663</v>
      </c>
      <c r="O40" s="2"/>
      <c r="P40" s="2"/>
      <c r="Q40" s="2"/>
    </row>
    <row r="41" spans="2:17" x14ac:dyDescent="0.25">
      <c r="B41" t="s">
        <v>23</v>
      </c>
      <c r="C41" s="2">
        <f>AVERAGE(Table38[Newtonsoft])</f>
        <v>10202</v>
      </c>
      <c r="D41" s="2">
        <f>AVERAGE(Table38[Revenj])</f>
        <v>3339</v>
      </c>
      <c r="E41" s="2">
        <f>AVERAGE(Table38[ProtoBuf (binary reference)])</f>
        <v>2156.3333333333335</v>
      </c>
      <c r="F41" s="2">
        <f>AVERAGE(Table38[Service Stack])</f>
        <v>7060</v>
      </c>
      <c r="G41" s="2">
        <f>AVERAGE(Table38[Jil])</f>
        <v>4717.333333333333</v>
      </c>
      <c r="H41" s="2">
        <f>AVERAGE(Table38[NetJSON])</f>
        <v>5784.333333333333</v>
      </c>
      <c r="I41" s="2">
        <f>AVERAGE(Table38[Jackson])</f>
        <v>2308.3333333333335</v>
      </c>
      <c r="J41" s="2">
        <f>AVERAGE(Table38[DSL-JSON])</f>
        <v>1237</v>
      </c>
      <c r="K41" s="2">
        <f>AVERAGE(Table38[Kryo (binary reference)])</f>
        <v>1278.3333333333333</v>
      </c>
      <c r="L41" s="2">
        <f>AVERAGE(Table38[Boon])</f>
        <v>10206.666666666666</v>
      </c>
      <c r="M41" s="2">
        <f>AVERAGE(Table38[Alibaba])</f>
        <v>4167</v>
      </c>
      <c r="N41" s="2">
        <f>AVERAGE(Table38[Gson])</f>
        <v>6095.333333333333</v>
      </c>
      <c r="O41" s="2"/>
      <c r="P41" s="2"/>
      <c r="Q41" s="2"/>
    </row>
    <row r="42" spans="2:17" x14ac:dyDescent="0.25">
      <c r="B42" t="s">
        <v>4</v>
      </c>
      <c r="C42" s="3">
        <f>AVERAGE(Table36[Newtonsoft (size)])</f>
        <v>36448889</v>
      </c>
      <c r="D42" s="3">
        <f>AVERAGE(Table36[Revenj (size)])</f>
        <v>36444872</v>
      </c>
      <c r="E42" s="3">
        <f>AVERAGE(Table36[ProtoBuf (size)])</f>
        <v>16941514</v>
      </c>
      <c r="F42" s="3">
        <f>AVERAGE(Table36[Service Stack (size)])</f>
        <v>36444889</v>
      </c>
      <c r="G42" s="2">
        <f>AVERAGE(Table36[Jil (size)])</f>
        <v>36444889</v>
      </c>
      <c r="H42" s="2">
        <f>AVERAGE(Table36[NetJSON (size)])</f>
        <v>36444872</v>
      </c>
      <c r="I42" s="2">
        <f>AVERAGE(Table36[Jackson (size)])</f>
        <v>36448889</v>
      </c>
      <c r="J42" s="2">
        <f>AVERAGE(Table36[DSL-JSON (size)])</f>
        <v>36444872</v>
      </c>
      <c r="K42" s="2">
        <f>AVERAGE(Table36[Kryo (size)])</f>
        <v>33922404</v>
      </c>
      <c r="L42" s="2">
        <f>AVERAGE(Table36[Boon (size)])</f>
        <v>36448875</v>
      </c>
      <c r="M42" s="2">
        <f>AVERAGE(Table36[Alibaba (size)])</f>
        <v>36446889</v>
      </c>
      <c r="N42" s="2">
        <f>AVERAGE(Table36[Gson (size)])</f>
        <v>36448889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DEVSQ(Table36[Newtonsoft])</f>
        <v>8442</v>
      </c>
      <c r="D47" s="2">
        <f>DEVSQ(Table36[Revenj])</f>
        <v>224.66666666666666</v>
      </c>
      <c r="E47" s="2">
        <f>DEVSQ(Table36[ProtoBuf (binary reference)])</f>
        <v>216</v>
      </c>
      <c r="F47" s="2">
        <f>DEVSQ(Table36[Service Stack])</f>
        <v>48.666666666666671</v>
      </c>
      <c r="G47" s="2">
        <f>DEVSQ(Table36[Jil])</f>
        <v>266</v>
      </c>
      <c r="H47" s="2">
        <f>DEVSQ(Table36[NetJSON])</f>
        <v>4.6666666666666661</v>
      </c>
      <c r="I47" s="2">
        <f>DEVSQ(Table36[Jackson])</f>
        <v>2348.666666666667</v>
      </c>
      <c r="J47" s="2">
        <f>DEVSQ(Table36[DSL-JSON])</f>
        <v>242.66666666666669</v>
      </c>
      <c r="K47" s="2">
        <f>DEVSQ(Table36[Kryo (binary reference)])</f>
        <v>330.66666666666669</v>
      </c>
      <c r="L47" s="2">
        <f>DEVSQ(Table36[Boon])</f>
        <v>3614</v>
      </c>
      <c r="M47" s="2">
        <f>DEVSQ(Table36[Alibaba])</f>
        <v>1338</v>
      </c>
      <c r="N47" s="2">
        <f>DEVSQ(Table36[Gson])</f>
        <v>4754.6666666666661</v>
      </c>
      <c r="O47" s="2"/>
      <c r="P47" s="2"/>
      <c r="Q47" s="2"/>
    </row>
    <row r="48" spans="2:17" x14ac:dyDescent="0.25">
      <c r="B48" t="s">
        <v>23</v>
      </c>
      <c r="C48" s="2">
        <f>DEVSQ(Table38[Newtonsoft])</f>
        <v>1086</v>
      </c>
      <c r="D48" s="2">
        <f>DEVSQ(Table38[Revenj])</f>
        <v>158</v>
      </c>
      <c r="E48" s="2">
        <f>DEVSQ(Table38[ProtoBuf (binary reference)])</f>
        <v>40.666666666666671</v>
      </c>
      <c r="F48" s="2">
        <f>DEVSQ(Table38[Service Stack])</f>
        <v>114</v>
      </c>
      <c r="G48" s="2">
        <f>DEVSQ(Table38[Jil])</f>
        <v>4764.6666666666661</v>
      </c>
      <c r="H48" s="2">
        <f>DEVSQ(Table38[NetJSON])</f>
        <v>412.66666666666669</v>
      </c>
      <c r="I48" s="2">
        <f>DEVSQ(Table38[Jackson])</f>
        <v>6164.666666666667</v>
      </c>
      <c r="J48" s="2">
        <f>DEVSQ(Table38[DSL-JSON])</f>
        <v>5246</v>
      </c>
      <c r="K48" s="2">
        <f>DEVSQ(Table38[Kryo (binary reference)])</f>
        <v>6580.666666666667</v>
      </c>
      <c r="L48" s="2">
        <f>DEVSQ(Table38[Boon])</f>
        <v>300920.66666666663</v>
      </c>
      <c r="M48" s="2">
        <f>DEVSQ(Table38[Alibaba])</f>
        <v>438</v>
      </c>
      <c r="N48" s="2">
        <f>DEVSQ(Table38[Gson])</f>
        <v>122028.66666666667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581</v>
      </c>
      <c r="C52">
        <v>556</v>
      </c>
      <c r="D52">
        <v>576</v>
      </c>
      <c r="E52">
        <v>556</v>
      </c>
      <c r="F52">
        <v>555</v>
      </c>
      <c r="G52">
        <v>565</v>
      </c>
      <c r="H52">
        <v>352</v>
      </c>
      <c r="I52">
        <v>347</v>
      </c>
      <c r="J52">
        <v>347</v>
      </c>
      <c r="K52">
        <v>343</v>
      </c>
      <c r="L52">
        <v>386</v>
      </c>
      <c r="M52">
        <v>344</v>
      </c>
    </row>
    <row r="53" spans="2:25" x14ac:dyDescent="0.25">
      <c r="B53">
        <v>580</v>
      </c>
      <c r="C53">
        <v>556</v>
      </c>
      <c r="D53">
        <v>579</v>
      </c>
      <c r="E53">
        <v>555</v>
      </c>
      <c r="F53">
        <v>554</v>
      </c>
      <c r="G53">
        <v>558</v>
      </c>
      <c r="H53">
        <v>345</v>
      </c>
      <c r="I53">
        <v>346</v>
      </c>
      <c r="J53">
        <v>345</v>
      </c>
      <c r="K53">
        <v>342</v>
      </c>
      <c r="L53">
        <v>346</v>
      </c>
      <c r="M53">
        <v>360</v>
      </c>
    </row>
    <row r="54" spans="2:25" x14ac:dyDescent="0.25">
      <c r="B54">
        <v>584</v>
      </c>
      <c r="C54">
        <v>555</v>
      </c>
      <c r="D54">
        <v>576</v>
      </c>
      <c r="E54">
        <v>558</v>
      </c>
      <c r="F54">
        <v>553</v>
      </c>
      <c r="G54">
        <v>560</v>
      </c>
      <c r="H54">
        <v>343</v>
      </c>
      <c r="I54">
        <v>343</v>
      </c>
      <c r="J54">
        <v>341</v>
      </c>
      <c r="K54">
        <v>341</v>
      </c>
      <c r="L54">
        <v>341</v>
      </c>
      <c r="M54">
        <v>344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4227</v>
      </c>
      <c r="C58">
        <v>2061</v>
      </c>
      <c r="D58">
        <v>1181</v>
      </c>
      <c r="E58">
        <v>3734</v>
      </c>
      <c r="F58">
        <v>2971</v>
      </c>
      <c r="G58">
        <v>2337</v>
      </c>
      <c r="H58">
        <v>1160</v>
      </c>
      <c r="I58">
        <v>826</v>
      </c>
      <c r="J58">
        <v>779</v>
      </c>
      <c r="K58">
        <v>3529</v>
      </c>
      <c r="L58">
        <v>3057</v>
      </c>
      <c r="M58">
        <v>4181</v>
      </c>
      <c r="N58">
        <v>36448889</v>
      </c>
      <c r="O58">
        <v>36444872</v>
      </c>
      <c r="P58">
        <v>16941514</v>
      </c>
      <c r="Q58">
        <v>36444889</v>
      </c>
      <c r="R58">
        <v>36444889</v>
      </c>
      <c r="S58">
        <v>36444872</v>
      </c>
      <c r="T58">
        <v>36448889</v>
      </c>
      <c r="U58">
        <v>36444872</v>
      </c>
      <c r="V58">
        <v>33922404</v>
      </c>
      <c r="W58">
        <v>36448875</v>
      </c>
      <c r="X58">
        <v>36446889</v>
      </c>
      <c r="Y58">
        <v>36448889</v>
      </c>
    </row>
    <row r="59" spans="2:25" x14ac:dyDescent="0.25">
      <c r="B59">
        <v>4341</v>
      </c>
      <c r="C59">
        <v>2069</v>
      </c>
      <c r="D59">
        <v>1199</v>
      </c>
      <c r="E59">
        <v>3733</v>
      </c>
      <c r="F59">
        <v>2949</v>
      </c>
      <c r="G59">
        <v>2338</v>
      </c>
      <c r="H59">
        <v>1114</v>
      </c>
      <c r="I59">
        <v>816</v>
      </c>
      <c r="J59">
        <v>755</v>
      </c>
      <c r="K59">
        <v>3573</v>
      </c>
      <c r="L59">
        <v>3024</v>
      </c>
      <c r="M59">
        <v>4107</v>
      </c>
      <c r="N59">
        <v>36448889</v>
      </c>
      <c r="O59">
        <v>36444872</v>
      </c>
      <c r="P59">
        <v>16941514</v>
      </c>
      <c r="Q59">
        <v>36444889</v>
      </c>
      <c r="R59">
        <v>36444889</v>
      </c>
      <c r="S59">
        <v>36444872</v>
      </c>
      <c r="T59">
        <v>36448889</v>
      </c>
      <c r="U59">
        <v>36444872</v>
      </c>
      <c r="V59">
        <v>33922404</v>
      </c>
      <c r="W59">
        <v>36448875</v>
      </c>
      <c r="X59">
        <v>36446889</v>
      </c>
      <c r="Y59">
        <v>36448889</v>
      </c>
    </row>
    <row r="60" spans="2:25" x14ac:dyDescent="0.25">
      <c r="B60">
        <v>4230</v>
      </c>
      <c r="C60">
        <v>2082</v>
      </c>
      <c r="D60">
        <v>1181</v>
      </c>
      <c r="E60">
        <v>3725</v>
      </c>
      <c r="F60">
        <v>2954</v>
      </c>
      <c r="G60">
        <v>2335</v>
      </c>
      <c r="H60">
        <v>1093</v>
      </c>
      <c r="I60">
        <v>804</v>
      </c>
      <c r="J60">
        <v>759</v>
      </c>
      <c r="K60">
        <v>3614</v>
      </c>
      <c r="L60">
        <v>3006</v>
      </c>
      <c r="M60">
        <v>4089</v>
      </c>
      <c r="N60">
        <v>36448889</v>
      </c>
      <c r="O60">
        <v>36444872</v>
      </c>
      <c r="P60">
        <v>16941514</v>
      </c>
      <c r="Q60">
        <v>36444889</v>
      </c>
      <c r="R60">
        <v>36444889</v>
      </c>
      <c r="S60">
        <v>36444872</v>
      </c>
      <c r="T60">
        <v>36448889</v>
      </c>
      <c r="U60">
        <v>36444872</v>
      </c>
      <c r="V60">
        <v>33922404</v>
      </c>
      <c r="W60">
        <v>36448875</v>
      </c>
      <c r="X60">
        <v>36446889</v>
      </c>
      <c r="Y60">
        <v>36448889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10209</v>
      </c>
      <c r="C64">
        <v>3349</v>
      </c>
      <c r="D64">
        <v>2161</v>
      </c>
      <c r="E64">
        <v>7059</v>
      </c>
      <c r="F64">
        <v>4744</v>
      </c>
      <c r="G64">
        <v>5768</v>
      </c>
      <c r="H64">
        <v>2372</v>
      </c>
      <c r="I64">
        <v>1178</v>
      </c>
      <c r="J64">
        <v>1238</v>
      </c>
      <c r="K64">
        <v>10617</v>
      </c>
      <c r="L64">
        <v>4177</v>
      </c>
      <c r="M64">
        <v>6341</v>
      </c>
    </row>
    <row r="65" spans="2:13" x14ac:dyDescent="0.25">
      <c r="B65">
        <v>10221</v>
      </c>
      <c r="C65">
        <v>3336</v>
      </c>
      <c r="D65">
        <v>2156</v>
      </c>
      <c r="E65">
        <v>7068</v>
      </c>
      <c r="F65">
        <v>4661</v>
      </c>
      <c r="G65">
        <v>5795</v>
      </c>
      <c r="H65">
        <v>2270</v>
      </c>
      <c r="I65">
        <v>1263</v>
      </c>
      <c r="J65">
        <v>1344</v>
      </c>
      <c r="K65">
        <v>9846</v>
      </c>
      <c r="L65">
        <v>4150</v>
      </c>
      <c r="M65">
        <v>5847</v>
      </c>
    </row>
    <row r="66" spans="2:13" x14ac:dyDescent="0.25">
      <c r="B66">
        <v>10176</v>
      </c>
      <c r="C66">
        <v>3332</v>
      </c>
      <c r="D66">
        <v>2152</v>
      </c>
      <c r="E66">
        <v>7053</v>
      </c>
      <c r="F66">
        <v>4747</v>
      </c>
      <c r="G66">
        <v>5790</v>
      </c>
      <c r="H66">
        <v>2283</v>
      </c>
      <c r="I66">
        <v>1270</v>
      </c>
      <c r="J66">
        <v>1253</v>
      </c>
      <c r="K66">
        <v>10157</v>
      </c>
      <c r="L66">
        <v>4174</v>
      </c>
      <c r="M66">
        <v>6098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42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AVERAGE(Table42[Newtonsoft])</f>
        <v>5695.666666666667</v>
      </c>
      <c r="D38" s="2">
        <f>AVERAGE(Table42[Revenj])</f>
        <v>5506.666666666667</v>
      </c>
      <c r="E38" s="2">
        <f>AVERAGE(Table42[ProtoBuf (binary reference)])</f>
        <v>5616.666666666667</v>
      </c>
      <c r="F38" s="2">
        <f>AVERAGE(Table42[Service Stack])</f>
        <v>5438.666666666667</v>
      </c>
      <c r="G38" s="2">
        <f>AVERAGE(Table42[Jil])</f>
        <v>5443</v>
      </c>
      <c r="H38" s="2">
        <f>AVERAGE(Table42[NetJSON])</f>
        <v>5519.333333333333</v>
      </c>
      <c r="I38" s="2">
        <f>AVERAGE(Table42[Jackson])</f>
        <v>3439.3333333333335</v>
      </c>
      <c r="J38" s="2">
        <f>AVERAGE(Table42[DSL-JSON])</f>
        <v>3350.6666666666665</v>
      </c>
      <c r="K38" s="2">
        <f>AVERAGE(Table42[Kryo (binary reference)])</f>
        <v>3351</v>
      </c>
      <c r="L38" s="2">
        <f>AVERAGE(Table42[Boon])</f>
        <v>3350.6666666666665</v>
      </c>
      <c r="M38" s="2">
        <f>AVERAGE(Table42[Alibaba])</f>
        <v>3380</v>
      </c>
      <c r="N38" s="2">
        <f>AVERAGE(Table42[Gson])</f>
        <v>3400</v>
      </c>
      <c r="O38" s="2"/>
      <c r="P38" s="2"/>
      <c r="Q38" s="2"/>
    </row>
    <row r="39" spans="2:17" x14ac:dyDescent="0.25">
      <c r="B39" t="s">
        <v>0</v>
      </c>
      <c r="C39" s="2">
        <f>AVERAGE(Table41[Newtonsoft]) - C38</f>
        <v>36637.333333333336</v>
      </c>
      <c r="D39" s="2">
        <f>AVERAGE(Table41[Revenj]) - D38</f>
        <v>15503.666666666664</v>
      </c>
      <c r="E39" s="2">
        <f>AVERAGE(Table41[ProtoBuf (binary reference)]) - E38</f>
        <v>6171.9999999999991</v>
      </c>
      <c r="F39" s="2">
        <f>AVERAGE(Table41[Service Stack]) - F38</f>
        <v>31781.999999999996</v>
      </c>
      <c r="G39" s="2">
        <f>AVERAGE(Table41[Jil]) - G38</f>
        <v>24612.666666666668</v>
      </c>
      <c r="H39" s="2">
        <f>AVERAGE(Table41[NetJSON]) - H38</f>
        <v>17795.333333333336</v>
      </c>
      <c r="I39" s="2">
        <f>AVERAGE(Table41[Jackson]) - I38</f>
        <v>7207</v>
      </c>
      <c r="J39" s="2">
        <f>AVERAGE(Table41[DSL-JSON]) - J38</f>
        <v>4393.6666666666661</v>
      </c>
      <c r="K39" s="2">
        <f>AVERAGE(Table41[Kryo (binary reference)]) - K38</f>
        <v>3515</v>
      </c>
      <c r="L39" s="2">
        <f>AVERAGE(Table41[Boon]) - L38</f>
        <v>31750.333333333332</v>
      </c>
      <c r="M39" s="2">
        <f>AVERAGE(Table41[Alibaba]) - M38</f>
        <v>26472</v>
      </c>
      <c r="N39" s="2">
        <f>AVERAGE(Table41[Gson]) - N38</f>
        <v>37643.666666666664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59790.666666666672</v>
      </c>
      <c r="D40" s="2">
        <f t="shared" si="0"/>
        <v>12721.000000000004</v>
      </c>
      <c r="E40" s="2">
        <f t="shared" ref="E40" si="1">E41 - E39 - E38</f>
        <v>9295.3333333333321</v>
      </c>
      <c r="F40" s="2">
        <f t="shared" si="0"/>
        <v>33999.333333333336</v>
      </c>
      <c r="G40" s="2">
        <f t="shared" si="0"/>
        <v>18035.666666666668</v>
      </c>
      <c r="H40" s="2">
        <f t="shared" si="0"/>
        <v>33966.666666666664</v>
      </c>
      <c r="I40" s="2">
        <f t="shared" ref="I40" si="2">I41 - I39 - I38</f>
        <v>11405.333333333334</v>
      </c>
      <c r="J40" s="2">
        <f t="shared" ref="J40" si="3">J41 - J39 - J38</f>
        <v>3950.3333333333335</v>
      </c>
      <c r="K40" s="2">
        <f t="shared" ref="K40:L40" si="4">K41 - K39 - K38</f>
        <v>4620.3333333333339</v>
      </c>
      <c r="L40" s="2">
        <f t="shared" si="4"/>
        <v>63925.333333333336</v>
      </c>
      <c r="M40" s="2">
        <f t="shared" ref="M40" si="5">M41 - M39 - M38</f>
        <v>12235</v>
      </c>
      <c r="N40" s="2">
        <f t="shared" ref="N40" si="6">N41 - N39 - N38</f>
        <v>20502.333333333336</v>
      </c>
      <c r="O40" s="2"/>
      <c r="P40" s="2"/>
      <c r="Q40" s="2"/>
    </row>
    <row r="41" spans="2:17" x14ac:dyDescent="0.25">
      <c r="B41" t="s">
        <v>23</v>
      </c>
      <c r="C41" s="2">
        <f>AVERAGE(Table43[Newtonsoft])</f>
        <v>102123.66666666667</v>
      </c>
      <c r="D41" s="2">
        <f>AVERAGE(Table43[Revenj])</f>
        <v>33731.333333333336</v>
      </c>
      <c r="E41" s="2">
        <f>AVERAGE(Table43[ProtoBuf (binary reference)])</f>
        <v>21084</v>
      </c>
      <c r="F41" s="2">
        <f>AVERAGE(Table43[Service Stack])</f>
        <v>71220</v>
      </c>
      <c r="G41" s="2">
        <f>AVERAGE(Table43[Jil])</f>
        <v>48091.333333333336</v>
      </c>
      <c r="H41" s="2">
        <f>AVERAGE(Table43[NetJSON])</f>
        <v>57281.333333333336</v>
      </c>
      <c r="I41" s="2">
        <f>AVERAGE(Table43[Jackson])</f>
        <v>22051.666666666668</v>
      </c>
      <c r="J41" s="2">
        <f>AVERAGE(Table43[DSL-JSON])</f>
        <v>11694.666666666666</v>
      </c>
      <c r="K41" s="2">
        <f>AVERAGE(Table43[Kryo (binary reference)])</f>
        <v>11486.333333333334</v>
      </c>
      <c r="L41" s="2">
        <f>AVERAGE(Table43[Boon])</f>
        <v>99026.333333333328</v>
      </c>
      <c r="M41" s="2">
        <f>AVERAGE(Table43[Alibaba])</f>
        <v>42087</v>
      </c>
      <c r="N41" s="2">
        <f>AVERAGE(Table43[Gson])</f>
        <v>61546</v>
      </c>
      <c r="O41" s="2"/>
      <c r="P41" s="2"/>
      <c r="Q41" s="2"/>
    </row>
    <row r="42" spans="2:17" x14ac:dyDescent="0.25">
      <c r="B42" t="s">
        <v>4</v>
      </c>
      <c r="C42" s="3">
        <f>AVERAGE(Table41[Newtonsoft (size)])</f>
        <v>394468889</v>
      </c>
      <c r="D42" s="3">
        <f>AVERAGE(Table41[Revenj (size)])</f>
        <v>394428872</v>
      </c>
      <c r="E42" s="3">
        <f>AVERAGE(Table41[ProtoBuf (size)])</f>
        <v>184924181</v>
      </c>
      <c r="F42" s="3">
        <f>AVERAGE(Table41[Service Stack (size)])</f>
        <v>394428889</v>
      </c>
      <c r="G42" s="2">
        <f>AVERAGE(Table41[Jil (size)])</f>
        <v>394428889</v>
      </c>
      <c r="H42" s="2">
        <f>AVERAGE(Table41[NetJSON (size)])</f>
        <v>394428872</v>
      </c>
      <c r="I42" s="2">
        <f>AVERAGE(Table41[Jackson (size)])</f>
        <v>394468889</v>
      </c>
      <c r="J42" s="2">
        <f>AVERAGE(Table41[DSL-JSON (size)])</f>
        <v>394428872</v>
      </c>
      <c r="K42" s="2">
        <f>AVERAGE(Table41[Kryo (size)])</f>
        <v>350301313</v>
      </c>
      <c r="L42" s="2">
        <f>AVERAGE(Table41[Boon (size)])</f>
        <v>394468875</v>
      </c>
      <c r="M42" s="2">
        <f>AVERAGE(Table41[Alibaba (size)])</f>
        <v>394448889</v>
      </c>
      <c r="N42" s="2">
        <f>AVERAGE(Table41[Gson (size)])</f>
        <v>394468889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DEVSQ(Table41[Newtonsoft])</f>
        <v>34058</v>
      </c>
      <c r="D47" s="2">
        <f>DEVSQ(Table41[Revenj])</f>
        <v>5968.666666666667</v>
      </c>
      <c r="E47" s="2">
        <f>DEVSQ(Table41[ProtoBuf (binary reference)])</f>
        <v>0.66666666666666674</v>
      </c>
      <c r="F47" s="2">
        <f>DEVSQ(Table41[Service Stack])</f>
        <v>154690.66666666666</v>
      </c>
      <c r="G47" s="2">
        <f>DEVSQ(Table41[Jil])</f>
        <v>493898.66666666663</v>
      </c>
      <c r="H47" s="2">
        <f>DEVSQ(Table41[NetJSON])</f>
        <v>4240.666666666667</v>
      </c>
      <c r="I47" s="2">
        <f>DEVSQ(Table41[Jackson])</f>
        <v>360832.66666666663</v>
      </c>
      <c r="J47" s="2">
        <f>DEVSQ(Table41[DSL-JSON])</f>
        <v>130568.66666666667</v>
      </c>
      <c r="K47" s="2">
        <f>DEVSQ(Table41[Kryo (binary reference)])</f>
        <v>84914</v>
      </c>
      <c r="L47" s="2">
        <f>DEVSQ(Table41[Boon])</f>
        <v>32562</v>
      </c>
      <c r="M47" s="2">
        <f>DEVSQ(Table41[Alibaba])</f>
        <v>120542</v>
      </c>
      <c r="N47" s="2">
        <f>DEVSQ(Table41[Gson])</f>
        <v>4497800.666666666</v>
      </c>
      <c r="O47" s="2"/>
      <c r="P47" s="2"/>
      <c r="Q47" s="2"/>
    </row>
    <row r="48" spans="2:17" x14ac:dyDescent="0.25">
      <c r="B48" t="s">
        <v>23</v>
      </c>
      <c r="C48" s="2">
        <f>DEVSQ(Table43[Newtonsoft])</f>
        <v>632600.66666666674</v>
      </c>
      <c r="D48" s="2">
        <f>DEVSQ(Table43[Revenj])</f>
        <v>5714.6666666666661</v>
      </c>
      <c r="E48" s="2">
        <f>DEVSQ(Table43[ProtoBuf (binary reference)])</f>
        <v>2666</v>
      </c>
      <c r="F48" s="2">
        <f>DEVSQ(Table43[Service Stack])</f>
        <v>97664</v>
      </c>
      <c r="G48" s="2">
        <f>DEVSQ(Table43[Jil])</f>
        <v>296584.66666666669</v>
      </c>
      <c r="H48" s="2">
        <f>DEVSQ(Table43[NetJSON])</f>
        <v>19012.666666666668</v>
      </c>
      <c r="I48" s="2">
        <f>DEVSQ(Table43[Jackson])</f>
        <v>2862348.666666667</v>
      </c>
      <c r="J48" s="2">
        <f>DEVSQ(Table43[DSL-JSON])</f>
        <v>683012.66666666663</v>
      </c>
      <c r="K48" s="2">
        <f>DEVSQ(Table43[Kryo (binary reference)])</f>
        <v>1087800.6666666667</v>
      </c>
      <c r="L48" s="2">
        <f>DEVSQ(Table43[Boon])</f>
        <v>5006328.666666667</v>
      </c>
      <c r="M48" s="2">
        <f>DEVSQ(Table43[Alibaba])</f>
        <v>14339144</v>
      </c>
      <c r="N48" s="2">
        <f>DEVSQ(Table43[Gson])</f>
        <v>712064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5690</v>
      </c>
      <c r="C52">
        <v>5500</v>
      </c>
      <c r="D52">
        <v>5626</v>
      </c>
      <c r="E52">
        <v>5451</v>
      </c>
      <c r="F52">
        <v>5446</v>
      </c>
      <c r="G52">
        <v>5504</v>
      </c>
      <c r="H52">
        <v>3426</v>
      </c>
      <c r="I52">
        <v>3359</v>
      </c>
      <c r="J52">
        <v>3369</v>
      </c>
      <c r="K52">
        <v>3346</v>
      </c>
      <c r="L52">
        <v>3370</v>
      </c>
      <c r="M52">
        <v>3335</v>
      </c>
    </row>
    <row r="53" spans="2:25" x14ac:dyDescent="0.25">
      <c r="B53">
        <v>5683</v>
      </c>
      <c r="C53">
        <v>5510</v>
      </c>
      <c r="D53">
        <v>5630</v>
      </c>
      <c r="E53">
        <v>5434</v>
      </c>
      <c r="F53">
        <v>5457</v>
      </c>
      <c r="G53">
        <v>5543</v>
      </c>
      <c r="H53">
        <v>3450</v>
      </c>
      <c r="I53">
        <v>3347</v>
      </c>
      <c r="J53">
        <v>3341</v>
      </c>
      <c r="K53">
        <v>3361</v>
      </c>
      <c r="L53">
        <v>3431</v>
      </c>
      <c r="M53">
        <v>3512</v>
      </c>
    </row>
    <row r="54" spans="2:25" x14ac:dyDescent="0.25">
      <c r="B54">
        <v>5714</v>
      </c>
      <c r="C54">
        <v>5510</v>
      </c>
      <c r="D54">
        <v>5594</v>
      </c>
      <c r="E54">
        <v>5431</v>
      </c>
      <c r="F54">
        <v>5426</v>
      </c>
      <c r="G54">
        <v>5511</v>
      </c>
      <c r="H54">
        <v>3442</v>
      </c>
      <c r="I54">
        <v>3346</v>
      </c>
      <c r="J54">
        <v>3343</v>
      </c>
      <c r="K54">
        <v>3345</v>
      </c>
      <c r="L54">
        <v>3339</v>
      </c>
      <c r="M54">
        <v>3353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42296</v>
      </c>
      <c r="C58">
        <v>21072</v>
      </c>
      <c r="D58">
        <v>11789</v>
      </c>
      <c r="E58">
        <v>37512</v>
      </c>
      <c r="F58">
        <v>29709</v>
      </c>
      <c r="G58">
        <v>23301</v>
      </c>
      <c r="H58">
        <v>10684</v>
      </c>
      <c r="I58">
        <v>7637</v>
      </c>
      <c r="J58">
        <v>7059</v>
      </c>
      <c r="K58">
        <v>35146</v>
      </c>
      <c r="L58">
        <v>30098</v>
      </c>
      <c r="M58">
        <v>40704</v>
      </c>
      <c r="N58">
        <v>394468889</v>
      </c>
      <c r="O58">
        <v>394428872</v>
      </c>
      <c r="P58">
        <v>184924181</v>
      </c>
      <c r="Q58">
        <v>394428889</v>
      </c>
      <c r="R58">
        <v>394428889</v>
      </c>
      <c r="S58">
        <v>394428872</v>
      </c>
      <c r="T58">
        <v>394468889</v>
      </c>
      <c r="U58">
        <v>394428872</v>
      </c>
      <c r="V58">
        <v>350301313</v>
      </c>
      <c r="W58">
        <v>394468875</v>
      </c>
      <c r="X58">
        <v>394448889</v>
      </c>
      <c r="Y58">
        <v>394468889</v>
      </c>
    </row>
    <row r="59" spans="2:25" x14ac:dyDescent="0.25">
      <c r="B59">
        <v>42478</v>
      </c>
      <c r="C59">
        <v>20968</v>
      </c>
      <c r="D59">
        <v>11789</v>
      </c>
      <c r="E59">
        <v>37192</v>
      </c>
      <c r="F59">
        <v>29833</v>
      </c>
      <c r="G59">
        <v>23366</v>
      </c>
      <c r="H59">
        <v>10204</v>
      </c>
      <c r="I59">
        <v>8036</v>
      </c>
      <c r="J59">
        <v>6649</v>
      </c>
      <c r="K59">
        <v>35200</v>
      </c>
      <c r="L59">
        <v>29607</v>
      </c>
      <c r="M59">
        <v>42684</v>
      </c>
      <c r="N59">
        <v>394468889</v>
      </c>
      <c r="O59">
        <v>394428872</v>
      </c>
      <c r="P59">
        <v>184924181</v>
      </c>
      <c r="Q59">
        <v>394428889</v>
      </c>
      <c r="R59">
        <v>394428889</v>
      </c>
      <c r="S59">
        <v>394428872</v>
      </c>
      <c r="T59">
        <v>394468889</v>
      </c>
      <c r="U59">
        <v>394428872</v>
      </c>
      <c r="V59">
        <v>350301313</v>
      </c>
      <c r="W59">
        <v>394468875</v>
      </c>
      <c r="X59">
        <v>394448889</v>
      </c>
      <c r="Y59">
        <v>394468889</v>
      </c>
    </row>
    <row r="60" spans="2:25" x14ac:dyDescent="0.25">
      <c r="B60">
        <v>42225</v>
      </c>
      <c r="C60">
        <v>20991</v>
      </c>
      <c r="D60">
        <v>11788</v>
      </c>
      <c r="E60">
        <v>36958</v>
      </c>
      <c r="F60">
        <v>30625</v>
      </c>
      <c r="G60">
        <v>23277</v>
      </c>
      <c r="H60">
        <v>11051</v>
      </c>
      <c r="I60">
        <v>7560</v>
      </c>
      <c r="J60">
        <v>6890</v>
      </c>
      <c r="K60">
        <v>34957</v>
      </c>
      <c r="L60">
        <v>29851</v>
      </c>
      <c r="M60">
        <v>39743</v>
      </c>
      <c r="N60">
        <v>394468889</v>
      </c>
      <c r="O60">
        <v>394428872</v>
      </c>
      <c r="P60">
        <v>184924181</v>
      </c>
      <c r="Q60">
        <v>394428889</v>
      </c>
      <c r="R60">
        <v>394428889</v>
      </c>
      <c r="S60">
        <v>394428872</v>
      </c>
      <c r="T60">
        <v>394468889</v>
      </c>
      <c r="U60">
        <v>394428872</v>
      </c>
      <c r="V60">
        <v>350301313</v>
      </c>
      <c r="W60">
        <v>394468875</v>
      </c>
      <c r="X60">
        <v>394448889</v>
      </c>
      <c r="Y60">
        <v>394468889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102099</v>
      </c>
      <c r="C64">
        <v>33756</v>
      </c>
      <c r="D64">
        <v>21113</v>
      </c>
      <c r="E64">
        <v>71044</v>
      </c>
      <c r="F64">
        <v>48051</v>
      </c>
      <c r="G64">
        <v>57389</v>
      </c>
      <c r="H64">
        <v>21850</v>
      </c>
      <c r="I64">
        <v>11211</v>
      </c>
      <c r="J64">
        <v>10919</v>
      </c>
      <c r="K64">
        <v>97883</v>
      </c>
      <c r="L64">
        <v>45001</v>
      </c>
      <c r="M64">
        <v>61170</v>
      </c>
    </row>
    <row r="65" spans="2:13" x14ac:dyDescent="0.25">
      <c r="B65">
        <v>101574</v>
      </c>
      <c r="C65">
        <v>33768</v>
      </c>
      <c r="D65">
        <v>21096</v>
      </c>
      <c r="E65">
        <v>71148</v>
      </c>
      <c r="F65">
        <v>47728</v>
      </c>
      <c r="G65">
        <v>57256</v>
      </c>
      <c r="H65">
        <v>23336</v>
      </c>
      <c r="I65">
        <v>11529</v>
      </c>
      <c r="J65">
        <v>11220</v>
      </c>
      <c r="K65">
        <v>100832</v>
      </c>
      <c r="L65">
        <v>39735</v>
      </c>
      <c r="M65">
        <v>61234</v>
      </c>
    </row>
    <row r="66" spans="2:13" x14ac:dyDescent="0.25">
      <c r="B66">
        <v>102698</v>
      </c>
      <c r="C66">
        <v>33670</v>
      </c>
      <c r="D66">
        <v>21043</v>
      </c>
      <c r="E66">
        <v>71468</v>
      </c>
      <c r="F66">
        <v>48495</v>
      </c>
      <c r="G66">
        <v>57199</v>
      </c>
      <c r="H66">
        <v>20969</v>
      </c>
      <c r="I66">
        <v>12344</v>
      </c>
      <c r="J66">
        <v>12320</v>
      </c>
      <c r="K66">
        <v>98364</v>
      </c>
      <c r="L66">
        <v>41525</v>
      </c>
      <c r="M66">
        <v>62234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43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AVERAGE(Table47[Newtonsoft])</f>
        <v>100.33333333333333</v>
      </c>
      <c r="D38" s="2">
        <f>AVERAGE(Table47[Revenj])</f>
        <v>98.333333333333329</v>
      </c>
      <c r="E38" s="2">
        <f>AVERAGE(Table47[ProtoBuf (binary reference)])</f>
        <v>95.333333333333329</v>
      </c>
      <c r="F38" s="2">
        <f>AVERAGE(Table47[Service Stack])</f>
        <v>94.666666666666671</v>
      </c>
      <c r="G38" s="2">
        <f>AVERAGE(Table47[Jil])</f>
        <v>95.666666666666671</v>
      </c>
      <c r="H38" s="2">
        <f>AVERAGE(Table47[NetJSON])</f>
        <v>97</v>
      </c>
      <c r="I38" s="2">
        <f>AVERAGE(Table47[Jackson])</f>
        <v>218</v>
      </c>
      <c r="J38" s="2">
        <f>AVERAGE(Table47[DSL-JSON])</f>
        <v>219.66666666666666</v>
      </c>
      <c r="K38" s="2">
        <f>AVERAGE(Table47[Kryo (binary reference)])</f>
        <v>224.66666666666666</v>
      </c>
      <c r="L38" s="2">
        <f>AVERAGE(Table47[Boon])</f>
        <v>229</v>
      </c>
      <c r="M38" s="2">
        <f>AVERAGE(Table47[Alibaba])</f>
        <v>224.33333333333334</v>
      </c>
      <c r="N38" s="2">
        <f>AVERAGE(Table47[Gson])</f>
        <v>229</v>
      </c>
      <c r="O38" s="2"/>
      <c r="P38" s="2"/>
      <c r="Q38" s="2"/>
    </row>
    <row r="39" spans="2:17" x14ac:dyDescent="0.25">
      <c r="B39" t="s">
        <v>0</v>
      </c>
      <c r="C39" s="2">
        <f>AVERAGE(Table46[Newtonsoft]) - C38</f>
        <v>314</v>
      </c>
      <c r="D39" s="2">
        <f>AVERAGE(Table46[Revenj]) - D38</f>
        <v>101.66666666666667</v>
      </c>
      <c r="E39" s="2">
        <f>AVERAGE(Table46[ProtoBuf (binary reference)]) - E38</f>
        <v>94.333333333333329</v>
      </c>
      <c r="F39" s="2">
        <f>AVERAGE(Table46[Service Stack]) - F38</f>
        <v>321</v>
      </c>
      <c r="G39" s="2">
        <f>AVERAGE(Table46[Jil]) - G38</f>
        <v>227</v>
      </c>
      <c r="H39" s="2">
        <f>AVERAGE(Table46[NetJSON]) - H38</f>
        <v>193.66666666666669</v>
      </c>
      <c r="I39" s="2">
        <f>AVERAGE(Table46[Jackson]) - I38</f>
        <v>210.33333333333331</v>
      </c>
      <c r="J39" s="2">
        <f>AVERAGE(Table46[DSL-JSON]) - J38</f>
        <v>140.00000000000003</v>
      </c>
      <c r="K39" s="2">
        <f>AVERAGE(Table46[Kryo (binary reference)]) - K38</f>
        <v>114.33333333333334</v>
      </c>
      <c r="L39" s="2">
        <f>AVERAGE(Table46[Boon]) - L38</f>
        <v>537</v>
      </c>
      <c r="M39" s="4" t="s">
        <v>54</v>
      </c>
      <c r="N39" s="2">
        <f>AVERAGE(Table46[Gson]) - N38</f>
        <v>760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820.33333333333337</v>
      </c>
      <c r="D40" s="2">
        <f t="shared" si="0"/>
        <v>188.33333333333331</v>
      </c>
      <c r="E40" s="2">
        <f t="shared" ref="E40" si="1">E41 - E39 - E38</f>
        <v>175.33333333333337</v>
      </c>
      <c r="F40" s="2">
        <f t="shared" si="0"/>
        <v>622.33333333333337</v>
      </c>
      <c r="G40" s="2">
        <f t="shared" si="0"/>
        <v>356.33333333333331</v>
      </c>
      <c r="H40" s="2">
        <f t="shared" si="0"/>
        <v>668.66666666666674</v>
      </c>
      <c r="I40" s="2">
        <f t="shared" ref="I40" si="2">I41 - I39 - I38</f>
        <v>390.66666666666674</v>
      </c>
      <c r="J40" s="2">
        <f t="shared" ref="J40" si="3">J41 - J39 - J38</f>
        <v>56.6666666666666</v>
      </c>
      <c r="K40" s="2">
        <f t="shared" ref="K40:L40" si="4">K41 - K39 - K38</f>
        <v>62.333333333333343</v>
      </c>
      <c r="L40" s="2" t="e">
        <f t="shared" si="4"/>
        <v>#DIV/0!</v>
      </c>
      <c r="M40" s="2" t="e">
        <f t="shared" ref="M40" si="5">M41 - M39 - M38</f>
        <v>#VALUE!</v>
      </c>
      <c r="N40" s="2">
        <f t="shared" ref="N40" si="6">N41 - N39 - N38</f>
        <v>857.33333333333326</v>
      </c>
      <c r="O40" s="2"/>
      <c r="P40" s="2"/>
      <c r="Q40" s="2"/>
    </row>
    <row r="41" spans="2:17" x14ac:dyDescent="0.25">
      <c r="B41" t="s">
        <v>23</v>
      </c>
      <c r="C41" s="2">
        <f>AVERAGE(Table48[Newtonsoft])</f>
        <v>1234.6666666666667</v>
      </c>
      <c r="D41" s="2">
        <f>AVERAGE(Table48[Revenj])</f>
        <v>388.33333333333331</v>
      </c>
      <c r="E41" s="2">
        <f>AVERAGE(Table48[ProtoBuf (binary reference)])</f>
        <v>365</v>
      </c>
      <c r="F41" s="2">
        <f>AVERAGE(Table48[Service Stack])</f>
        <v>1038</v>
      </c>
      <c r="G41" s="2">
        <f>AVERAGE(Table48[Jil])</f>
        <v>679</v>
      </c>
      <c r="H41" s="2">
        <f>AVERAGE(Table48[NetJSON])</f>
        <v>959.33333333333337</v>
      </c>
      <c r="I41" s="2">
        <f>AVERAGE(Table48[Jackson])</f>
        <v>819</v>
      </c>
      <c r="J41" s="2">
        <f>AVERAGE(Table48[DSL-JSON])</f>
        <v>416.33333333333331</v>
      </c>
      <c r="K41" s="2">
        <f>AVERAGE(Table48[Kryo (binary reference)])</f>
        <v>401.33333333333331</v>
      </c>
      <c r="L41" s="2" t="e">
        <f>AVERAGE(Table48[Boon])</f>
        <v>#DIV/0!</v>
      </c>
      <c r="M41" s="4" t="s">
        <v>54</v>
      </c>
      <c r="N41" s="2">
        <f>AVERAGE(Table48[Gson])</f>
        <v>1846.3333333333333</v>
      </c>
      <c r="O41" s="2"/>
      <c r="P41" s="2"/>
      <c r="Q41" s="2"/>
    </row>
    <row r="42" spans="2:17" x14ac:dyDescent="0.25">
      <c r="B42" t="s">
        <v>4</v>
      </c>
      <c r="C42" s="3">
        <f>AVERAGE(Table46[Newtonsoft (size)])</f>
        <v>11938890</v>
      </c>
      <c r="D42" s="3">
        <f>AVERAGE(Table46[Revenj (size)])</f>
        <v>10188890</v>
      </c>
      <c r="E42" s="3">
        <f>AVERAGE(Table46[ProtoBuf (size)])</f>
        <v>4488890</v>
      </c>
      <c r="F42" s="3">
        <f>AVERAGE(Table46[Service Stack (size)])</f>
        <v>11838890</v>
      </c>
      <c r="G42" s="2">
        <f>AVERAGE(Table46[Jil (size)])</f>
        <v>11938890</v>
      </c>
      <c r="H42" s="2">
        <f>AVERAGE(Table46[NetJSON (size)])</f>
        <v>11888890</v>
      </c>
      <c r="I42" s="2">
        <f>AVERAGE(Table46[Jackson (size)])</f>
        <v>10938890</v>
      </c>
      <c r="J42" s="2">
        <f>AVERAGE(Table46[DSL-JSON (size)])</f>
        <v>10188890</v>
      </c>
      <c r="K42" s="2">
        <f>AVERAGE(Table46[Kryo (size)])</f>
        <v>3888890</v>
      </c>
      <c r="L42" s="2">
        <f>AVERAGE(Table46[Boon (size)])</f>
        <v>8988890</v>
      </c>
      <c r="M42" s="4" t="s">
        <v>54</v>
      </c>
      <c r="N42" s="2">
        <f>AVERAGE(Table46[Gson (size)])</f>
        <v>10938890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DEVSQ(Table46[Newtonsoft])</f>
        <v>12.666666666666666</v>
      </c>
      <c r="D47" s="2">
        <f>DEVSQ(Table46[Revenj])</f>
        <v>0</v>
      </c>
      <c r="E47" s="2">
        <f>DEVSQ(Table46[ProtoBuf (binary reference)])</f>
        <v>2.6666666666666665</v>
      </c>
      <c r="F47" s="2">
        <f>DEVSQ(Table46[Service Stack])</f>
        <v>0.66666666666666674</v>
      </c>
      <c r="G47" s="2">
        <f>DEVSQ(Table46[Jil])</f>
        <v>8.6666666666666661</v>
      </c>
      <c r="H47" s="2">
        <f>DEVSQ(Table46[NetJSON])</f>
        <v>4.6666666666666661</v>
      </c>
      <c r="I47" s="2">
        <f>DEVSQ(Table46[Jackson])</f>
        <v>6780.666666666667</v>
      </c>
      <c r="J47" s="2">
        <f>DEVSQ(Table46[DSL-JSON])</f>
        <v>3516.666666666667</v>
      </c>
      <c r="K47" s="2">
        <f>DEVSQ(Table46[Kryo (binary reference)])</f>
        <v>32</v>
      </c>
      <c r="L47" s="2">
        <f>DEVSQ(Table46[Boon])</f>
        <v>158</v>
      </c>
      <c r="M47" s="2">
        <f>DEVSQ(Table46[Alibaba])</f>
        <v>3416</v>
      </c>
      <c r="N47" s="2">
        <f>DEVSQ(Table46[Gson])</f>
        <v>3138</v>
      </c>
      <c r="O47" s="2"/>
      <c r="P47" s="2"/>
      <c r="Q47" s="2"/>
    </row>
    <row r="48" spans="2:17" x14ac:dyDescent="0.25">
      <c r="B48" t="s">
        <v>23</v>
      </c>
      <c r="C48" s="2">
        <f>DEVSQ(Table48[Newtonsoft])</f>
        <v>108.66666666666666</v>
      </c>
      <c r="D48" s="2">
        <f>DEVSQ(Table48[Revenj])</f>
        <v>16.666666666666664</v>
      </c>
      <c r="E48" s="2">
        <f>DEVSQ(Table48[ProtoBuf (binary reference)])</f>
        <v>14</v>
      </c>
      <c r="F48" s="2">
        <f>DEVSQ(Table48[Service Stack])</f>
        <v>8</v>
      </c>
      <c r="G48" s="2">
        <f>DEVSQ(Table48[Jil])</f>
        <v>2</v>
      </c>
      <c r="H48" s="2">
        <f>DEVSQ(Table48[NetJSON])</f>
        <v>4.666666666666667</v>
      </c>
      <c r="I48" s="2">
        <f>DEVSQ(Table48[Jackson])</f>
        <v>1082</v>
      </c>
      <c r="J48" s="2">
        <f>DEVSQ(Table48[DSL-JSON])</f>
        <v>28.666666666666671</v>
      </c>
      <c r="K48" s="2">
        <f>DEVSQ(Table48[Kryo (binary reference)])</f>
        <v>44.666666666666671</v>
      </c>
      <c r="L48" s="2" t="e">
        <f>DEVSQ(Table48[Boon])</f>
        <v>#NUM!</v>
      </c>
      <c r="M48" s="2">
        <f>DEVSQ(Table48[Alibaba])</f>
        <v>13274</v>
      </c>
      <c r="N48" s="2">
        <f>DEVSQ(Table48[Gson])</f>
        <v>3280.666666666667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101</v>
      </c>
      <c r="C52">
        <v>99</v>
      </c>
      <c r="D52">
        <v>95</v>
      </c>
      <c r="E52">
        <v>94</v>
      </c>
      <c r="F52">
        <v>95</v>
      </c>
      <c r="G52">
        <v>96</v>
      </c>
      <c r="H52">
        <v>214</v>
      </c>
      <c r="I52">
        <v>220</v>
      </c>
      <c r="J52">
        <v>223</v>
      </c>
      <c r="K52">
        <v>228</v>
      </c>
      <c r="L52">
        <v>221</v>
      </c>
      <c r="M52">
        <v>224</v>
      </c>
    </row>
    <row r="53" spans="2:25" x14ac:dyDescent="0.25">
      <c r="B53">
        <v>100</v>
      </c>
      <c r="C53">
        <v>98</v>
      </c>
      <c r="D53">
        <v>95</v>
      </c>
      <c r="E53">
        <v>95</v>
      </c>
      <c r="F53">
        <v>96</v>
      </c>
      <c r="G53">
        <v>98</v>
      </c>
      <c r="H53">
        <v>224</v>
      </c>
      <c r="I53">
        <v>219</v>
      </c>
      <c r="J53">
        <v>220</v>
      </c>
      <c r="K53">
        <v>232</v>
      </c>
      <c r="L53">
        <v>222</v>
      </c>
      <c r="M53">
        <v>238</v>
      </c>
    </row>
    <row r="54" spans="2:25" x14ac:dyDescent="0.25">
      <c r="B54">
        <v>100</v>
      </c>
      <c r="C54">
        <v>98</v>
      </c>
      <c r="D54">
        <v>96</v>
      </c>
      <c r="E54">
        <v>95</v>
      </c>
      <c r="F54">
        <v>96</v>
      </c>
      <c r="G54">
        <v>97</v>
      </c>
      <c r="H54">
        <v>216</v>
      </c>
      <c r="I54">
        <v>220</v>
      </c>
      <c r="J54">
        <v>231</v>
      </c>
      <c r="K54">
        <v>227</v>
      </c>
      <c r="L54">
        <v>230</v>
      </c>
      <c r="M54">
        <v>225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414</v>
      </c>
      <c r="C58">
        <v>200</v>
      </c>
      <c r="D58">
        <v>189</v>
      </c>
      <c r="E58">
        <v>416</v>
      </c>
      <c r="F58">
        <v>322</v>
      </c>
      <c r="G58">
        <v>292</v>
      </c>
      <c r="H58">
        <v>494</v>
      </c>
      <c r="I58">
        <v>408</v>
      </c>
      <c r="J58">
        <v>339</v>
      </c>
      <c r="K58">
        <v>756</v>
      </c>
      <c r="L58">
        <v>2718</v>
      </c>
      <c r="M58">
        <v>1032</v>
      </c>
      <c r="N58">
        <v>11938890</v>
      </c>
      <c r="O58">
        <v>10188890</v>
      </c>
      <c r="P58">
        <v>4488890</v>
      </c>
      <c r="Q58">
        <v>11838890</v>
      </c>
      <c r="R58">
        <v>11938890</v>
      </c>
      <c r="S58">
        <v>11888890</v>
      </c>
      <c r="T58">
        <v>10938890</v>
      </c>
      <c r="U58">
        <v>10188890</v>
      </c>
      <c r="V58">
        <v>3888890</v>
      </c>
      <c r="W58">
        <v>8988890</v>
      </c>
      <c r="X58">
        <v>195979127</v>
      </c>
      <c r="Y58">
        <v>10938890</v>
      </c>
    </row>
    <row r="59" spans="2:25" x14ac:dyDescent="0.25">
      <c r="B59">
        <v>412</v>
      </c>
      <c r="C59">
        <v>200</v>
      </c>
      <c r="D59">
        <v>191</v>
      </c>
      <c r="E59">
        <v>416</v>
      </c>
      <c r="F59">
        <v>321</v>
      </c>
      <c r="G59">
        <v>289</v>
      </c>
      <c r="H59">
        <v>408</v>
      </c>
      <c r="I59">
        <v>338</v>
      </c>
      <c r="J59">
        <v>343</v>
      </c>
      <c r="K59">
        <v>769</v>
      </c>
      <c r="L59">
        <v>2776</v>
      </c>
      <c r="M59">
        <v>954</v>
      </c>
      <c r="N59">
        <v>11938890</v>
      </c>
      <c r="O59">
        <v>10188890</v>
      </c>
      <c r="P59">
        <v>4488890</v>
      </c>
      <c r="Q59">
        <v>11838890</v>
      </c>
      <c r="R59">
        <v>11938890</v>
      </c>
      <c r="S59">
        <v>11888890</v>
      </c>
      <c r="T59">
        <v>10938890</v>
      </c>
      <c r="U59">
        <v>10188890</v>
      </c>
      <c r="V59">
        <v>3888890</v>
      </c>
      <c r="W59">
        <v>8988890</v>
      </c>
      <c r="X59">
        <v>195979130</v>
      </c>
      <c r="Y59">
        <v>10938890</v>
      </c>
    </row>
    <row r="60" spans="2:25" x14ac:dyDescent="0.25">
      <c r="B60">
        <v>417</v>
      </c>
      <c r="C60">
        <v>200</v>
      </c>
      <c r="D60">
        <v>189</v>
      </c>
      <c r="E60">
        <v>415</v>
      </c>
      <c r="F60">
        <v>325</v>
      </c>
      <c r="G60">
        <v>291</v>
      </c>
      <c r="H60">
        <v>383</v>
      </c>
      <c r="I60">
        <v>333</v>
      </c>
      <c r="J60">
        <v>335</v>
      </c>
      <c r="K60">
        <v>773</v>
      </c>
      <c r="L60">
        <v>2798</v>
      </c>
      <c r="M60">
        <v>981</v>
      </c>
      <c r="N60">
        <v>11938890</v>
      </c>
      <c r="O60">
        <v>10188890</v>
      </c>
      <c r="P60">
        <v>4488890</v>
      </c>
      <c r="Q60">
        <v>11838890</v>
      </c>
      <c r="R60">
        <v>11938890</v>
      </c>
      <c r="S60">
        <v>11888890</v>
      </c>
      <c r="T60">
        <v>10938890</v>
      </c>
      <c r="U60">
        <v>10188890</v>
      </c>
      <c r="V60">
        <v>3888890</v>
      </c>
      <c r="W60">
        <v>8988890</v>
      </c>
      <c r="X60">
        <v>195979130</v>
      </c>
      <c r="Y60">
        <v>10938890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1229</v>
      </c>
      <c r="C64">
        <v>385</v>
      </c>
      <c r="D64">
        <v>363</v>
      </c>
      <c r="E64">
        <v>1036</v>
      </c>
      <c r="F64">
        <v>678</v>
      </c>
      <c r="G64">
        <v>959</v>
      </c>
      <c r="H64">
        <v>840</v>
      </c>
      <c r="I64">
        <v>412</v>
      </c>
      <c r="J64">
        <v>396</v>
      </c>
      <c r="L64">
        <v>5677</v>
      </c>
      <c r="M64">
        <v>1810</v>
      </c>
    </row>
    <row r="65" spans="2:13" x14ac:dyDescent="0.25">
      <c r="B65">
        <v>1243</v>
      </c>
      <c r="C65">
        <v>390</v>
      </c>
      <c r="D65">
        <v>368</v>
      </c>
      <c r="E65">
        <v>1040</v>
      </c>
      <c r="F65">
        <v>679</v>
      </c>
      <c r="G65">
        <v>958</v>
      </c>
      <c r="H65">
        <v>823</v>
      </c>
      <c r="I65">
        <v>419</v>
      </c>
      <c r="J65">
        <v>405</v>
      </c>
      <c r="L65">
        <v>5798</v>
      </c>
      <c r="M65">
        <v>1839</v>
      </c>
    </row>
    <row r="66" spans="2:13" x14ac:dyDescent="0.25">
      <c r="B66">
        <v>1232</v>
      </c>
      <c r="C66">
        <v>390</v>
      </c>
      <c r="D66">
        <v>364</v>
      </c>
      <c r="E66">
        <v>1038</v>
      </c>
      <c r="F66">
        <v>680</v>
      </c>
      <c r="G66">
        <v>961</v>
      </c>
      <c r="H66">
        <v>794</v>
      </c>
      <c r="I66">
        <v>418</v>
      </c>
      <c r="J66">
        <v>403</v>
      </c>
      <c r="L66">
        <v>5832</v>
      </c>
      <c r="M66">
        <v>1890</v>
      </c>
    </row>
  </sheetData>
  <pageMargins left="0.7" right="0.7" top="0.75" bottom="0.75" header="0.3" footer="0.3"/>
  <pageSetup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44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AVERAGE(Table52[Newtonsoft])</f>
        <v>818.33333333333337</v>
      </c>
      <c r="D38" s="2">
        <f>AVERAGE(Table52[Revenj])</f>
        <v>843</v>
      </c>
      <c r="E38" s="2">
        <f>AVERAGE(Table52[ProtoBuf (binary reference)])</f>
        <v>825.66666666666663</v>
      </c>
      <c r="F38" s="2">
        <f>AVERAGE(Table52[Service Stack])</f>
        <v>798.33333333333337</v>
      </c>
      <c r="G38" s="2">
        <f>AVERAGE(Table52[Jil])</f>
        <v>804</v>
      </c>
      <c r="H38" s="2">
        <f>AVERAGE(Table52[NetJSON])</f>
        <v>820.33333333333337</v>
      </c>
      <c r="I38" s="2">
        <f>AVERAGE(Table52[Jackson])</f>
        <v>668.33333333333337</v>
      </c>
      <c r="J38" s="2">
        <f>AVERAGE(Table52[DSL-JSON])</f>
        <v>677</v>
      </c>
      <c r="K38" s="2">
        <f>AVERAGE(Table52[Kryo (binary reference)])</f>
        <v>684</v>
      </c>
      <c r="L38" s="2">
        <f>AVERAGE(Table52[Boon])</f>
        <v>694.66666666666663</v>
      </c>
      <c r="M38" s="2">
        <f>AVERAGE(Table52[Alibaba])</f>
        <v>680</v>
      </c>
      <c r="N38" s="2">
        <f>AVERAGE(Table52[Gson])</f>
        <v>693.66666666666663</v>
      </c>
      <c r="O38" s="2"/>
      <c r="P38" s="2"/>
      <c r="Q38" s="2"/>
    </row>
    <row r="39" spans="2:17" x14ac:dyDescent="0.25">
      <c r="B39" t="s">
        <v>0</v>
      </c>
      <c r="C39" s="2">
        <f>AVERAGE(Table51[Newtonsoft]) - C38</f>
        <v>3129.6666666666665</v>
      </c>
      <c r="D39" s="2">
        <f>AVERAGE(Table51[Revenj]) - D38</f>
        <v>929.33333333333326</v>
      </c>
      <c r="E39" s="2">
        <f>AVERAGE(Table51[ProtoBuf (binary reference)]) - E38</f>
        <v>888.66666666666663</v>
      </c>
      <c r="F39" s="2">
        <f>AVERAGE(Table51[Service Stack]) - F38</f>
        <v>2963</v>
      </c>
      <c r="G39" s="2">
        <f>AVERAGE(Table51[Jil]) - G38</f>
        <v>2155.3333333333335</v>
      </c>
      <c r="H39" s="2">
        <f>AVERAGE(Table51[NetJSON]) - H38</f>
        <v>1764</v>
      </c>
      <c r="I39" s="2">
        <f>AVERAGE(Table51[Jackson]) - I38</f>
        <v>1230</v>
      </c>
      <c r="J39" s="2">
        <f>AVERAGE(Table51[DSL-JSON]) - J38</f>
        <v>543.66666666666674</v>
      </c>
      <c r="K39" s="2">
        <f>AVERAGE(Table51[Kryo (binary reference)]) - K38</f>
        <v>500</v>
      </c>
      <c r="L39" s="2">
        <f>AVERAGE(Table51[Boon]) - L38</f>
        <v>3670.0000000000005</v>
      </c>
      <c r="M39" s="4" t="s">
        <v>54</v>
      </c>
      <c r="N39" s="2">
        <f>AVERAGE(Table51[Gson]) - N38</f>
        <v>5529.6666666666661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7855.0000000000009</v>
      </c>
      <c r="D40" s="2">
        <f t="shared" si="0"/>
        <v>1803.333333333333</v>
      </c>
      <c r="E40" s="2">
        <f t="shared" ref="E40" si="1">E41 - E39 - E38</f>
        <v>1756.0000000000005</v>
      </c>
      <c r="F40" s="2">
        <f t="shared" si="0"/>
        <v>5906.666666666667</v>
      </c>
      <c r="G40" s="2">
        <f t="shared" si="0"/>
        <v>3141.9999999999995</v>
      </c>
      <c r="H40" s="2">
        <f t="shared" si="0"/>
        <v>6622.666666666667</v>
      </c>
      <c r="I40" s="2">
        <f t="shared" ref="I40" si="2">I41 - I39 - I38</f>
        <v>2727.3333333333335</v>
      </c>
      <c r="J40" s="2">
        <f t="shared" ref="J40" si="3">J41 - J39 - J38</f>
        <v>459.66666666666652</v>
      </c>
      <c r="K40" s="2">
        <f t="shared" ref="K40:L40" si="4">K41 - K39 - K38</f>
        <v>409</v>
      </c>
      <c r="L40" s="2" t="e">
        <f t="shared" si="4"/>
        <v>#DIV/0!</v>
      </c>
      <c r="M40" s="2" t="e">
        <f t="shared" ref="M40" si="5">M41 - M39 - M38</f>
        <v>#VALUE!</v>
      </c>
      <c r="N40" s="2">
        <f t="shared" ref="N40" si="6">N41 - N39 - N38</f>
        <v>5066.666666666667</v>
      </c>
      <c r="O40" s="2"/>
      <c r="P40" s="2"/>
      <c r="Q40" s="2"/>
    </row>
    <row r="41" spans="2:17" x14ac:dyDescent="0.25">
      <c r="B41" t="s">
        <v>23</v>
      </c>
      <c r="C41" s="2">
        <f>AVERAGE(Table53[Newtonsoft])</f>
        <v>11803</v>
      </c>
      <c r="D41" s="2">
        <f>AVERAGE(Table53[Revenj])</f>
        <v>3575.6666666666665</v>
      </c>
      <c r="E41" s="2">
        <f>AVERAGE(Table53[ProtoBuf (binary reference)])</f>
        <v>3470.3333333333335</v>
      </c>
      <c r="F41" s="2">
        <f>AVERAGE(Table53[Service Stack])</f>
        <v>9668</v>
      </c>
      <c r="G41" s="2">
        <f>AVERAGE(Table53[Jil])</f>
        <v>6101.333333333333</v>
      </c>
      <c r="H41" s="2">
        <f>AVERAGE(Table53[NetJSON])</f>
        <v>9207</v>
      </c>
      <c r="I41" s="2">
        <f>AVERAGE(Table53[Jackson])</f>
        <v>4625.666666666667</v>
      </c>
      <c r="J41" s="2">
        <f>AVERAGE(Table53[DSL-JSON])</f>
        <v>1680.3333333333333</v>
      </c>
      <c r="K41" s="2">
        <f>AVERAGE(Table53[Kryo (binary reference)])</f>
        <v>1593</v>
      </c>
      <c r="L41" s="2" t="e">
        <f>AVERAGE(Table53[Boon])</f>
        <v>#DIV/0!</v>
      </c>
      <c r="M41" s="4" t="s">
        <v>54</v>
      </c>
      <c r="N41" s="2">
        <f>AVERAGE(Table53[Gson])</f>
        <v>11290</v>
      </c>
      <c r="O41" s="2"/>
      <c r="P41" s="2"/>
      <c r="Q41" s="2"/>
    </row>
    <row r="42" spans="2:17" x14ac:dyDescent="0.25">
      <c r="B42" t="s">
        <v>4</v>
      </c>
      <c r="C42" s="3">
        <f>AVERAGE(Table51[Newtonsoft (size)])</f>
        <v>120388890</v>
      </c>
      <c r="D42" s="3">
        <f>AVERAGE(Table51[Revenj (size)])</f>
        <v>102888890</v>
      </c>
      <c r="E42" s="3">
        <f>AVERAGE(Table51[ProtoBuf (size)])</f>
        <v>45888890</v>
      </c>
      <c r="F42" s="3">
        <f>AVERAGE(Table51[Service Stack (size)])</f>
        <v>119388890</v>
      </c>
      <c r="G42" s="2">
        <f>AVERAGE(Table51[Jil (size)])</f>
        <v>120388890</v>
      </c>
      <c r="H42" s="2">
        <f>AVERAGE(Table51[NetJSON (size)])</f>
        <v>119888890</v>
      </c>
      <c r="I42" s="2">
        <f>AVERAGE(Table51[Jackson (size)])</f>
        <v>110388890</v>
      </c>
      <c r="J42" s="2">
        <f>AVERAGE(Table51[DSL-JSON (size)])</f>
        <v>102888890</v>
      </c>
      <c r="K42" s="2">
        <f>AVERAGE(Table51[Kryo (size)])</f>
        <v>39888890</v>
      </c>
      <c r="L42" s="2">
        <f>AVERAGE(Table51[Boon (size)])</f>
        <v>90888890</v>
      </c>
      <c r="M42" s="4" t="s">
        <v>54</v>
      </c>
      <c r="N42" s="2">
        <f>AVERAGE(Table51[Gson (size)])</f>
        <v>110388890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DEVSQ(Table51[Newtonsoft])</f>
        <v>342</v>
      </c>
      <c r="D47" s="2">
        <f>DEVSQ(Table51[Revenj])</f>
        <v>66.666666666666657</v>
      </c>
      <c r="E47" s="2">
        <f>DEVSQ(Table51[ProtoBuf (binary reference)])</f>
        <v>288.66666666666669</v>
      </c>
      <c r="F47" s="2">
        <f>DEVSQ(Table51[Service Stack])</f>
        <v>140.66666666666669</v>
      </c>
      <c r="G47" s="2">
        <f>DEVSQ(Table51[Jil])</f>
        <v>2.666666666666667</v>
      </c>
      <c r="H47" s="2">
        <f>DEVSQ(Table51[NetJSON])</f>
        <v>428.66666666666663</v>
      </c>
      <c r="I47" s="2">
        <f>DEVSQ(Table51[Jackson])</f>
        <v>40.666666666666671</v>
      </c>
      <c r="J47" s="2">
        <f>DEVSQ(Table51[DSL-JSON])</f>
        <v>22964.666666666668</v>
      </c>
      <c r="K47" s="2">
        <f>DEVSQ(Table51[Kryo (binary reference)])</f>
        <v>6146</v>
      </c>
      <c r="L47" s="2">
        <f>DEVSQ(Table51[Boon])</f>
        <v>13640.666666666668</v>
      </c>
      <c r="M47" s="2">
        <f>DEVSQ(Table51[Alibaba])</f>
        <v>20600.666666666664</v>
      </c>
      <c r="N47" s="2">
        <f>DEVSQ(Table51[Gson])</f>
        <v>5874.666666666667</v>
      </c>
      <c r="O47" s="2"/>
      <c r="P47" s="2"/>
      <c r="Q47" s="2"/>
    </row>
    <row r="48" spans="2:17" x14ac:dyDescent="0.25">
      <c r="B48" t="s">
        <v>23</v>
      </c>
      <c r="C48" s="2">
        <f>DEVSQ(Table53[Newtonsoft])</f>
        <v>1376</v>
      </c>
      <c r="D48" s="2">
        <f>DEVSQ(Table53[Revenj])</f>
        <v>48.666666666666671</v>
      </c>
      <c r="E48" s="2">
        <f>DEVSQ(Table53[ProtoBuf (binary reference)])</f>
        <v>482.66666666666663</v>
      </c>
      <c r="F48" s="2">
        <f>DEVSQ(Table53[Service Stack])</f>
        <v>834</v>
      </c>
      <c r="G48" s="2">
        <f>DEVSQ(Table53[Jil])</f>
        <v>394.66666666666669</v>
      </c>
      <c r="H48" s="2">
        <f>DEVSQ(Table53[NetJSON])</f>
        <v>614</v>
      </c>
      <c r="I48" s="2">
        <f>DEVSQ(Table53[Jackson])</f>
        <v>69564.666666666672</v>
      </c>
      <c r="J48" s="2">
        <f>DEVSQ(Table53[DSL-JSON])</f>
        <v>7028.666666666667</v>
      </c>
      <c r="K48" s="2">
        <f>DEVSQ(Table53[Kryo (binary reference)])</f>
        <v>2654</v>
      </c>
      <c r="L48" s="2" t="e">
        <f>DEVSQ(Table53[Boon])</f>
        <v>#NUM!</v>
      </c>
      <c r="M48" s="2">
        <f>DEVSQ(Table53[Alibaba])</f>
        <v>1984986</v>
      </c>
      <c r="N48" s="2">
        <f>DEVSQ(Table53[Gson])</f>
        <v>14882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821</v>
      </c>
      <c r="C52">
        <v>841</v>
      </c>
      <c r="D52">
        <v>807</v>
      </c>
      <c r="E52">
        <v>797</v>
      </c>
      <c r="F52">
        <v>804</v>
      </c>
      <c r="G52">
        <v>819</v>
      </c>
      <c r="H52">
        <v>665</v>
      </c>
      <c r="I52">
        <v>692</v>
      </c>
      <c r="J52">
        <v>694</v>
      </c>
      <c r="K52">
        <v>711</v>
      </c>
      <c r="L52">
        <v>685</v>
      </c>
      <c r="M52">
        <v>689</v>
      </c>
    </row>
    <row r="53" spans="2:25" x14ac:dyDescent="0.25">
      <c r="B53">
        <v>815</v>
      </c>
      <c r="C53">
        <v>839</v>
      </c>
      <c r="D53">
        <v>861</v>
      </c>
      <c r="E53">
        <v>798</v>
      </c>
      <c r="F53">
        <v>804</v>
      </c>
      <c r="G53">
        <v>822</v>
      </c>
      <c r="H53">
        <v>672</v>
      </c>
      <c r="I53">
        <v>666</v>
      </c>
      <c r="J53">
        <v>686</v>
      </c>
      <c r="K53">
        <v>698</v>
      </c>
      <c r="L53">
        <v>682</v>
      </c>
      <c r="M53">
        <v>674</v>
      </c>
    </row>
    <row r="54" spans="2:25" x14ac:dyDescent="0.25">
      <c r="B54">
        <v>819</v>
      </c>
      <c r="C54">
        <v>849</v>
      </c>
      <c r="D54">
        <v>809</v>
      </c>
      <c r="E54">
        <v>800</v>
      </c>
      <c r="F54">
        <v>804</v>
      </c>
      <c r="G54">
        <v>820</v>
      </c>
      <c r="H54">
        <v>668</v>
      </c>
      <c r="I54">
        <v>673</v>
      </c>
      <c r="J54">
        <v>672</v>
      </c>
      <c r="K54">
        <v>675</v>
      </c>
      <c r="L54">
        <v>673</v>
      </c>
      <c r="M54">
        <v>718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3957</v>
      </c>
      <c r="C58">
        <v>1769</v>
      </c>
      <c r="D58">
        <v>1726</v>
      </c>
      <c r="E58">
        <v>3756</v>
      </c>
      <c r="F58">
        <v>2958</v>
      </c>
      <c r="G58">
        <v>2600</v>
      </c>
      <c r="H58">
        <v>1898</v>
      </c>
      <c r="I58">
        <v>1126</v>
      </c>
      <c r="J58">
        <v>1176</v>
      </c>
      <c r="K58">
        <v>4277</v>
      </c>
      <c r="L58">
        <v>20444</v>
      </c>
      <c r="M58">
        <v>6280</v>
      </c>
      <c r="N58">
        <v>120388890</v>
      </c>
      <c r="O58">
        <v>102888890</v>
      </c>
      <c r="P58">
        <v>45888890</v>
      </c>
      <c r="Q58">
        <v>119388890</v>
      </c>
      <c r="R58">
        <v>120388890</v>
      </c>
      <c r="S58">
        <v>119888890</v>
      </c>
      <c r="T58">
        <v>110388890</v>
      </c>
      <c r="U58">
        <v>102888890</v>
      </c>
      <c r="V58">
        <v>39888890</v>
      </c>
      <c r="W58">
        <v>90888890</v>
      </c>
      <c r="X58">
        <v>1960898405</v>
      </c>
      <c r="Y58">
        <v>110388890</v>
      </c>
    </row>
    <row r="59" spans="2:25" x14ac:dyDescent="0.25">
      <c r="B59">
        <v>3933</v>
      </c>
      <c r="C59">
        <v>1769</v>
      </c>
      <c r="D59">
        <v>1702</v>
      </c>
      <c r="E59">
        <v>3757</v>
      </c>
      <c r="F59">
        <v>2960</v>
      </c>
      <c r="G59">
        <v>2582</v>
      </c>
      <c r="H59">
        <v>1894</v>
      </c>
      <c r="I59">
        <v>1337</v>
      </c>
      <c r="J59">
        <v>1133</v>
      </c>
      <c r="K59">
        <v>4441</v>
      </c>
      <c r="L59">
        <v>20569</v>
      </c>
      <c r="M59">
        <v>6172</v>
      </c>
      <c r="N59">
        <v>120388890</v>
      </c>
      <c r="O59">
        <v>102888890</v>
      </c>
      <c r="P59">
        <v>45888890</v>
      </c>
      <c r="Q59">
        <v>119388890</v>
      </c>
      <c r="R59">
        <v>120388890</v>
      </c>
      <c r="S59">
        <v>119888890</v>
      </c>
      <c r="T59">
        <v>110388890</v>
      </c>
      <c r="U59">
        <v>102888890</v>
      </c>
      <c r="V59">
        <v>39888890</v>
      </c>
      <c r="W59">
        <v>90888890</v>
      </c>
      <c r="X59">
        <v>1960898404</v>
      </c>
      <c r="Y59">
        <v>110388890</v>
      </c>
    </row>
    <row r="60" spans="2:25" x14ac:dyDescent="0.25">
      <c r="B60">
        <v>3954</v>
      </c>
      <c r="C60">
        <v>1779</v>
      </c>
      <c r="D60">
        <v>1715</v>
      </c>
      <c r="E60">
        <v>3771</v>
      </c>
      <c r="F60">
        <v>2960</v>
      </c>
      <c r="G60">
        <v>2571</v>
      </c>
      <c r="H60">
        <v>1903</v>
      </c>
      <c r="I60">
        <v>1199</v>
      </c>
      <c r="J60">
        <v>1243</v>
      </c>
      <c r="K60">
        <v>4376</v>
      </c>
      <c r="L60">
        <v>20368</v>
      </c>
      <c r="M60">
        <v>6218</v>
      </c>
      <c r="N60">
        <v>120388890</v>
      </c>
      <c r="O60">
        <v>102888890</v>
      </c>
      <c r="P60">
        <v>45888890</v>
      </c>
      <c r="Q60">
        <v>119388890</v>
      </c>
      <c r="R60">
        <v>120388890</v>
      </c>
      <c r="S60">
        <v>119888890</v>
      </c>
      <c r="T60">
        <v>110388890</v>
      </c>
      <c r="U60">
        <v>102888890</v>
      </c>
      <c r="V60">
        <v>39888890</v>
      </c>
      <c r="W60">
        <v>90888890</v>
      </c>
      <c r="X60">
        <v>1960898402</v>
      </c>
      <c r="Y60">
        <v>110388890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11779</v>
      </c>
      <c r="C64">
        <v>3570</v>
      </c>
      <c r="D64">
        <v>3483</v>
      </c>
      <c r="E64">
        <v>9661</v>
      </c>
      <c r="F64">
        <v>6088</v>
      </c>
      <c r="G64">
        <v>9224</v>
      </c>
      <c r="H64">
        <v>4439</v>
      </c>
      <c r="I64">
        <v>1612</v>
      </c>
      <c r="J64">
        <v>1551</v>
      </c>
      <c r="L64">
        <v>49931</v>
      </c>
      <c r="M64">
        <v>11349</v>
      </c>
    </row>
    <row r="65" spans="2:13" x14ac:dyDescent="0.25">
      <c r="B65">
        <v>11831</v>
      </c>
      <c r="C65">
        <v>3579</v>
      </c>
      <c r="D65">
        <v>3475</v>
      </c>
      <c r="E65">
        <v>9691</v>
      </c>
      <c r="F65">
        <v>6116</v>
      </c>
      <c r="G65">
        <v>9208</v>
      </c>
      <c r="H65">
        <v>4812</v>
      </c>
      <c r="I65">
        <v>1718</v>
      </c>
      <c r="J65">
        <v>1612</v>
      </c>
      <c r="L65">
        <v>48329</v>
      </c>
      <c r="M65">
        <v>11330</v>
      </c>
    </row>
    <row r="66" spans="2:13" x14ac:dyDescent="0.25">
      <c r="B66">
        <v>11799</v>
      </c>
      <c r="C66">
        <v>3578</v>
      </c>
      <c r="D66">
        <v>3453</v>
      </c>
      <c r="E66">
        <v>9652</v>
      </c>
      <c r="F66">
        <v>6100</v>
      </c>
      <c r="G66">
        <v>9189</v>
      </c>
      <c r="H66">
        <v>4626</v>
      </c>
      <c r="I66">
        <v>1711</v>
      </c>
      <c r="J66">
        <v>1616</v>
      </c>
      <c r="L66">
        <v>48104</v>
      </c>
      <c r="M66">
        <v>11191</v>
      </c>
    </row>
  </sheetData>
  <pageMargins left="0.7" right="0.7" top="0.75" bottom="0.75" header="0.3" footer="0.3"/>
  <pageSetup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Startup</vt:lpstr>
      <vt:lpstr>Small M 1</vt:lpstr>
      <vt:lpstr>Small M 2</vt:lpstr>
      <vt:lpstr>Small M 3</vt:lpstr>
      <vt:lpstr>Small C 1</vt:lpstr>
      <vt:lpstr>Small C 2</vt:lpstr>
      <vt:lpstr>Small C 3</vt:lpstr>
      <vt:lpstr>Small P 1</vt:lpstr>
      <vt:lpstr>Small P 2</vt:lpstr>
      <vt:lpstr>Small P 3</vt:lpstr>
      <vt:lpstr>Std D 1</vt:lpstr>
      <vt:lpstr>Std D 2</vt:lpstr>
      <vt:lpstr>Std D 3</vt:lpstr>
      <vt:lpstr>Std P 1</vt:lpstr>
      <vt:lpstr>Std P 2</vt:lpstr>
      <vt:lpstr>Std P 3</vt:lpstr>
      <vt:lpstr>Large 1</vt:lpstr>
      <vt:lpstr>Large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Rikard Pavelic</dc:creator>
  <cp:lastModifiedBy>Rikard Pavelic</cp:lastModifiedBy>
  <dcterms:created xsi:type="dcterms:W3CDTF">2014-10-11T07:45:31Z</dcterms:created>
  <dcterms:modified xsi:type="dcterms:W3CDTF">2016-04-09T12:55:37Z</dcterms:modified>
</cp:coreProperties>
</file>