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Startup times" sheetId="1" r:id="rId1"/>
    <sheet name="Small events" sheetId="5" r:id="rId2"/>
    <sheet name="Small values" sheetId="6" r:id="rId3"/>
    <sheet name="Small aggregates" sheetId="7" r:id="rId4"/>
    <sheet name="Standard events" sheetId="8" r:id="rId5"/>
    <sheet name="Standard aggregates" sheetId="9" r:id="rId6"/>
    <sheet name="Large aggregates" sheetId="10" r:id="rId7"/>
  </sheets>
  <calcPr calcId="145621"/>
</workbook>
</file>

<file path=xl/calcChain.xml><?xml version="1.0" encoding="utf-8"?>
<calcChain xmlns="http://schemas.openxmlformats.org/spreadsheetml/2006/main">
  <c r="K14" i="10" l="1"/>
  <c r="J14" i="10"/>
  <c r="I14" i="10"/>
  <c r="H14" i="10"/>
  <c r="G14" i="10"/>
  <c r="K13" i="10"/>
  <c r="J13" i="10"/>
  <c r="I13" i="10"/>
  <c r="H13" i="10"/>
  <c r="G13" i="10"/>
  <c r="K7" i="10"/>
  <c r="J7" i="10"/>
  <c r="I7" i="10"/>
  <c r="H7" i="10"/>
  <c r="G7" i="10"/>
  <c r="K5" i="10"/>
  <c r="J5" i="10"/>
  <c r="I5" i="10"/>
  <c r="H5" i="10"/>
  <c r="G5" i="10"/>
  <c r="K14" i="9"/>
  <c r="J14" i="9"/>
  <c r="I14" i="9"/>
  <c r="H14" i="9"/>
  <c r="G14" i="9"/>
  <c r="K13" i="9"/>
  <c r="J13" i="9"/>
  <c r="I13" i="9"/>
  <c r="H13" i="9"/>
  <c r="G13" i="9"/>
  <c r="K7" i="9"/>
  <c r="K6" i="9" s="1"/>
  <c r="J7" i="9"/>
  <c r="I7" i="9"/>
  <c r="H7" i="9"/>
  <c r="G7" i="9"/>
  <c r="K5" i="9"/>
  <c r="J5" i="9"/>
  <c r="I5" i="9"/>
  <c r="H5" i="9"/>
  <c r="G5" i="9"/>
  <c r="K14" i="8"/>
  <c r="J14" i="8"/>
  <c r="I14" i="8"/>
  <c r="H14" i="8"/>
  <c r="G14" i="8"/>
  <c r="K13" i="8"/>
  <c r="J13" i="8"/>
  <c r="I13" i="8"/>
  <c r="H13" i="8"/>
  <c r="G13" i="8"/>
  <c r="K7" i="8"/>
  <c r="J7" i="8"/>
  <c r="I7" i="8"/>
  <c r="H7" i="8"/>
  <c r="G7" i="8"/>
  <c r="K5" i="8"/>
  <c r="J5" i="8"/>
  <c r="I5" i="8"/>
  <c r="H5" i="8"/>
  <c r="G5" i="8"/>
  <c r="K14" i="7"/>
  <c r="J14" i="7"/>
  <c r="I14" i="7"/>
  <c r="H14" i="7"/>
  <c r="G14" i="7"/>
  <c r="K13" i="7"/>
  <c r="J13" i="7"/>
  <c r="I13" i="7"/>
  <c r="H13" i="7"/>
  <c r="G13" i="7"/>
  <c r="K7" i="7"/>
  <c r="K6" i="7" s="1"/>
  <c r="J7" i="7"/>
  <c r="I7" i="7"/>
  <c r="H7" i="7"/>
  <c r="G7" i="7"/>
  <c r="K5" i="7"/>
  <c r="J5" i="7"/>
  <c r="I5" i="7"/>
  <c r="H5" i="7"/>
  <c r="G5" i="7"/>
  <c r="K14" i="6"/>
  <c r="J14" i="6"/>
  <c r="I14" i="6"/>
  <c r="H14" i="6"/>
  <c r="G14" i="6"/>
  <c r="K13" i="6"/>
  <c r="J13" i="6"/>
  <c r="I13" i="6"/>
  <c r="H13" i="6"/>
  <c r="G13" i="6"/>
  <c r="K7" i="6"/>
  <c r="J7" i="6"/>
  <c r="I7" i="6"/>
  <c r="H7" i="6"/>
  <c r="G7" i="6"/>
  <c r="K5" i="6"/>
  <c r="J5" i="6"/>
  <c r="I5" i="6"/>
  <c r="H5" i="6"/>
  <c r="G5" i="6"/>
  <c r="K14" i="5"/>
  <c r="J14" i="5"/>
  <c r="I14" i="5"/>
  <c r="H14" i="5"/>
  <c r="G14" i="5"/>
  <c r="K13" i="5"/>
  <c r="J13" i="5"/>
  <c r="I13" i="5"/>
  <c r="H13" i="5"/>
  <c r="G13" i="5"/>
  <c r="K7" i="5"/>
  <c r="J7" i="5"/>
  <c r="I7" i="5"/>
  <c r="H7" i="5"/>
  <c r="G7" i="5"/>
  <c r="K5" i="5"/>
  <c r="J5" i="5"/>
  <c r="I5" i="5"/>
  <c r="H5" i="5"/>
  <c r="G5" i="5"/>
  <c r="I6" i="5" l="1"/>
  <c r="I6" i="7"/>
  <c r="K6" i="8"/>
  <c r="G6" i="9"/>
  <c r="I6" i="9"/>
  <c r="I6" i="10"/>
  <c r="K6" i="10"/>
  <c r="J6" i="10"/>
  <c r="G6" i="10"/>
  <c r="J6" i="9"/>
  <c r="H6" i="9"/>
  <c r="J6" i="8"/>
  <c r="I6" i="8"/>
  <c r="H6" i="8"/>
  <c r="G6" i="8"/>
  <c r="H6" i="7"/>
  <c r="J6" i="7"/>
  <c r="G6" i="7"/>
  <c r="K6" i="6"/>
  <c r="J6" i="6"/>
  <c r="I6" i="6"/>
  <c r="H6" i="6"/>
  <c r="G6" i="6"/>
  <c r="K6" i="5"/>
  <c r="J6" i="5"/>
  <c r="H6" i="5"/>
  <c r="G6" i="5"/>
  <c r="H14" i="1"/>
  <c r="I14" i="1"/>
  <c r="J14" i="1"/>
  <c r="K14" i="1"/>
  <c r="G14" i="1"/>
  <c r="H13" i="1"/>
  <c r="I13" i="1"/>
  <c r="J13" i="1"/>
  <c r="K13" i="1"/>
  <c r="G13" i="1"/>
  <c r="H7" i="1"/>
  <c r="I7" i="1"/>
  <c r="J7" i="1"/>
  <c r="K7" i="1"/>
  <c r="G7" i="1"/>
  <c r="H5" i="1"/>
  <c r="I5" i="1"/>
  <c r="J5" i="1"/>
  <c r="K5" i="1"/>
  <c r="G5" i="1"/>
  <c r="K6" i="1" l="1"/>
  <c r="J6" i="1"/>
  <c r="I6" i="1"/>
  <c r="H6" i="1"/>
  <c r="G6" i="1"/>
</calcChain>
</file>

<file path=xl/sharedStrings.xml><?xml version="1.0" encoding="utf-8"?>
<sst xmlns="http://schemas.openxmlformats.org/spreadsheetml/2006/main" count="210" uniqueCount="19">
  <si>
    <t>Jil</t>
  </si>
  <si>
    <t>Revenj.Json</t>
  </si>
  <si>
    <t>Revenj.Protobuf</t>
  </si>
  <si>
    <t>Serialization</t>
  </si>
  <si>
    <t>Both</t>
  </si>
  <si>
    <t>Newtonsoft.Json</t>
  </si>
  <si>
    <t>Manual</t>
  </si>
  <si>
    <t>Deserialization</t>
  </si>
  <si>
    <t>Serialization data:</t>
  </si>
  <si>
    <t>Average</t>
  </si>
  <si>
    <t>Deviation</t>
  </si>
  <si>
    <t>Serialization and deserialization data:</t>
  </si>
  <si>
    <t>Testing 1 serialization/deserialization</t>
  </si>
  <si>
    <t>Testing 100.000 serialization/deserializations for simple event data structure</t>
  </si>
  <si>
    <t>Testing 100.000 serialization/deserializations for simple value data structure</t>
  </si>
  <si>
    <t>Testing 100.000 serialization/deserializations for simple aggregate root structure</t>
  </si>
  <si>
    <t>Testing 10.000 serialization/deserializations for non-trivial event data structure</t>
  </si>
  <si>
    <t>Testing 10.000 serialization/deserializations for non-trivial aggregate root structure</t>
  </si>
  <si>
    <t>Testing 100 serialization/deserializations for large aggregate root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</si>
</sst>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70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'Startup times'!$F$5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'Startup times'!$G$4:$K$4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'Startup times'!$G$5:$K$5</c:f>
              <c:numCache>
                <c:formatCode>#,##0.0</c:formatCode>
                <c:ptCount val="5"/>
                <c:pt idx="0">
                  <c:v>116.1</c:v>
                </c:pt>
                <c:pt idx="1">
                  <c:v>266.2</c:v>
                </c:pt>
                <c:pt idx="2">
                  <c:v>11</c:v>
                </c:pt>
                <c:pt idx="3">
                  <c:v>119.1</c:v>
                </c:pt>
                <c:pt idx="4">
                  <c:v>57.7</c:v>
                </c:pt>
              </c:numCache>
            </c:numRef>
          </c:val>
        </c:ser>
        <c:ser>
          <c:idx val="1"/>
          <c:order val="1"/>
          <c:tx>
            <c:strRef>
              <c:f>'Startup times'!$F$6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'Startup times'!$G$4:$K$4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'Startup times'!$G$6:$K$6</c:f>
              <c:numCache>
                <c:formatCode>#,##0.0</c:formatCode>
                <c:ptCount val="5"/>
                <c:pt idx="0">
                  <c:v>40.099999999999994</c:v>
                </c:pt>
                <c:pt idx="1">
                  <c:v>79.100000000000023</c:v>
                </c:pt>
                <c:pt idx="2">
                  <c:v>5</c:v>
                </c:pt>
                <c:pt idx="3">
                  <c:v>31.200000000000017</c:v>
                </c:pt>
                <c:pt idx="4">
                  <c:v>7.5999999999999943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798656"/>
        <c:axId val="103800192"/>
        <c:axId val="0"/>
      </c:bar3DChart>
      <c:catAx>
        <c:axId val="10379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800192"/>
        <c:crosses val="autoZero"/>
        <c:auto val="1"/>
        <c:lblAlgn val="ctr"/>
        <c:lblOffset val="100"/>
        <c:noMultiLvlLbl val="0"/>
      </c:catAx>
      <c:valAx>
        <c:axId val="10380019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0379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'Small events'!$F$5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events'!$G$5:$K$5</c:f>
              <c:numCache>
                <c:formatCode>#,##0.0</c:formatCode>
                <c:ptCount val="5"/>
                <c:pt idx="0">
                  <c:v>487.8</c:v>
                </c:pt>
                <c:pt idx="1">
                  <c:v>633.5</c:v>
                </c:pt>
                <c:pt idx="2">
                  <c:v>313.8</c:v>
                </c:pt>
                <c:pt idx="3">
                  <c:v>545.4</c:v>
                </c:pt>
                <c:pt idx="4">
                  <c:v>158.19999999999999</c:v>
                </c:pt>
              </c:numCache>
            </c:numRef>
          </c:val>
        </c:ser>
        <c:ser>
          <c:idx val="1"/>
          <c:order val="1"/>
          <c:tx>
            <c:strRef>
              <c:f>'Small events'!$F$6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events'!$G$6:$K$6</c:f>
              <c:numCache>
                <c:formatCode>#,##0.0</c:formatCode>
                <c:ptCount val="5"/>
                <c:pt idx="0">
                  <c:v>772</c:v>
                </c:pt>
                <c:pt idx="1">
                  <c:v>404.70000000000005</c:v>
                </c:pt>
                <c:pt idx="2">
                  <c:v>409.3</c:v>
                </c:pt>
                <c:pt idx="3">
                  <c:v>818.4</c:v>
                </c:pt>
                <c:pt idx="4">
                  <c:v>155.19999999999999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33024"/>
        <c:axId val="147247104"/>
        <c:axId val="0"/>
      </c:bar3DChart>
      <c:catAx>
        <c:axId val="14723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247104"/>
        <c:crosses val="autoZero"/>
        <c:auto val="1"/>
        <c:lblAlgn val="ctr"/>
        <c:lblOffset val="100"/>
        <c:noMultiLvlLbl val="0"/>
      </c:catAx>
      <c:valAx>
        <c:axId val="147247104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723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'Small values'!$F$5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values'!$G$4:$K$4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values'!$G$5:$K$5</c:f>
              <c:numCache>
                <c:formatCode>#,##0.0</c:formatCode>
                <c:ptCount val="5"/>
                <c:pt idx="0">
                  <c:v>317.60000000000002</c:v>
                </c:pt>
                <c:pt idx="1">
                  <c:v>215.6</c:v>
                </c:pt>
                <c:pt idx="2">
                  <c:v>161.30000000000001</c:v>
                </c:pt>
                <c:pt idx="3">
                  <c:v>365</c:v>
                </c:pt>
                <c:pt idx="4">
                  <c:v>59.5</c:v>
                </c:pt>
              </c:numCache>
            </c:numRef>
          </c:val>
        </c:ser>
        <c:ser>
          <c:idx val="1"/>
          <c:order val="1"/>
          <c:tx>
            <c:strRef>
              <c:f>'Small values'!$F$6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values'!$G$4:$K$4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values'!$G$6:$K$6</c:f>
              <c:numCache>
                <c:formatCode>#,##0.0</c:formatCode>
                <c:ptCount val="5"/>
                <c:pt idx="0">
                  <c:v>727.4</c:v>
                </c:pt>
                <c:pt idx="1">
                  <c:v>264.60000000000002</c:v>
                </c:pt>
                <c:pt idx="2">
                  <c:v>174.2</c:v>
                </c:pt>
                <c:pt idx="3">
                  <c:v>762.5</c:v>
                </c:pt>
                <c:pt idx="4">
                  <c:v>83.300000000000011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122816"/>
        <c:axId val="147128704"/>
        <c:axId val="0"/>
      </c:bar3DChart>
      <c:catAx>
        <c:axId val="14712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28704"/>
        <c:crosses val="autoZero"/>
        <c:auto val="1"/>
        <c:lblAlgn val="ctr"/>
        <c:lblOffset val="100"/>
        <c:noMultiLvlLbl val="0"/>
      </c:catAx>
      <c:valAx>
        <c:axId val="147128704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712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'Small aggregates'!$F$5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aggregates'!$G$5:$K$5</c:f>
              <c:numCache>
                <c:formatCode>#,##0.0</c:formatCode>
                <c:ptCount val="5"/>
                <c:pt idx="0">
                  <c:v>896.5</c:v>
                </c:pt>
                <c:pt idx="1">
                  <c:v>642.6</c:v>
                </c:pt>
                <c:pt idx="2">
                  <c:v>459.3</c:v>
                </c:pt>
                <c:pt idx="3">
                  <c:v>986.3</c:v>
                </c:pt>
                <c:pt idx="4">
                  <c:v>327.60000000000002</c:v>
                </c:pt>
              </c:numCache>
            </c:numRef>
          </c:val>
        </c:ser>
        <c:ser>
          <c:idx val="1"/>
          <c:order val="1"/>
          <c:tx>
            <c:strRef>
              <c:f>'Small aggregates'!$F$6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aggregates'!$G$6:$K$6</c:f>
              <c:numCache>
                <c:formatCode>#,##0.0</c:formatCode>
                <c:ptCount val="5"/>
                <c:pt idx="0">
                  <c:v>1100.3</c:v>
                </c:pt>
                <c:pt idx="1">
                  <c:v>467.30000000000007</c:v>
                </c:pt>
                <c:pt idx="2">
                  <c:v>236.8</c:v>
                </c:pt>
                <c:pt idx="3">
                  <c:v>1304.3999999999999</c:v>
                </c:pt>
                <c:pt idx="4">
                  <c:v>277.79999999999995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354368"/>
        <c:axId val="147355904"/>
        <c:axId val="0"/>
      </c:bar3DChart>
      <c:catAx>
        <c:axId val="14735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355904"/>
        <c:crosses val="autoZero"/>
        <c:auto val="1"/>
        <c:lblAlgn val="ctr"/>
        <c:lblOffset val="100"/>
        <c:noMultiLvlLbl val="0"/>
      </c:catAx>
      <c:valAx>
        <c:axId val="147355904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735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'Standard events'!$F$5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'Standard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events'!$G$5:$K$5</c:f>
              <c:numCache>
                <c:formatCode>#,##0.0</c:formatCode>
                <c:ptCount val="5"/>
                <c:pt idx="0">
                  <c:v>5029.7</c:v>
                </c:pt>
                <c:pt idx="1">
                  <c:v>-1</c:v>
                </c:pt>
                <c:pt idx="2">
                  <c:v>2957.3</c:v>
                </c:pt>
                <c:pt idx="3">
                  <c:v>5494.1</c:v>
                </c:pt>
                <c:pt idx="4">
                  <c:v>1271.7</c:v>
                </c:pt>
              </c:numCache>
            </c:numRef>
          </c:val>
        </c:ser>
        <c:ser>
          <c:idx val="1"/>
          <c:order val="1"/>
          <c:tx>
            <c:strRef>
              <c:f>'Standard events'!$F$6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'Standard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events'!$G$6:$K$6</c:f>
              <c:numCache>
                <c:formatCode>#,##0.0</c:formatCode>
                <c:ptCount val="5"/>
                <c:pt idx="0">
                  <c:v>6009.5999999999995</c:v>
                </c:pt>
                <c:pt idx="1">
                  <c:v>0</c:v>
                </c:pt>
                <c:pt idx="2">
                  <c:v>2273.0999999999995</c:v>
                </c:pt>
                <c:pt idx="3">
                  <c:v>5821.7999999999993</c:v>
                </c:pt>
                <c:pt idx="4">
                  <c:v>1266.4999999999998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502208"/>
        <c:axId val="147503744"/>
        <c:axId val="0"/>
      </c:bar3DChart>
      <c:catAx>
        <c:axId val="14750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503744"/>
        <c:crosses val="autoZero"/>
        <c:auto val="1"/>
        <c:lblAlgn val="ctr"/>
        <c:lblOffset val="100"/>
        <c:noMultiLvlLbl val="0"/>
      </c:catAx>
      <c:valAx>
        <c:axId val="147503744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750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'Standard aggregates'!$F$5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'Standard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aggregates'!$G$5:$K$5</c:f>
              <c:numCache>
                <c:formatCode>#,##0.0</c:formatCode>
                <c:ptCount val="5"/>
                <c:pt idx="0">
                  <c:v>5849.2</c:v>
                </c:pt>
                <c:pt idx="1">
                  <c:v>-1</c:v>
                </c:pt>
                <c:pt idx="2">
                  <c:v>4809.8999999999996</c:v>
                </c:pt>
                <c:pt idx="3">
                  <c:v>7883.9</c:v>
                </c:pt>
                <c:pt idx="4">
                  <c:v>1598.8</c:v>
                </c:pt>
              </c:numCache>
            </c:numRef>
          </c:val>
        </c:ser>
        <c:ser>
          <c:idx val="1"/>
          <c:order val="1"/>
          <c:tx>
            <c:strRef>
              <c:f>'Standard aggregates'!$F$6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'Standard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aggregates'!$G$6:$K$6</c:f>
              <c:numCache>
                <c:formatCode>#,##0.0</c:formatCode>
                <c:ptCount val="5"/>
                <c:pt idx="0">
                  <c:v>8153.4000000000005</c:v>
                </c:pt>
                <c:pt idx="1">
                  <c:v>0</c:v>
                </c:pt>
                <c:pt idx="2">
                  <c:v>3185.4000000000005</c:v>
                </c:pt>
                <c:pt idx="3">
                  <c:v>8193.5</c:v>
                </c:pt>
                <c:pt idx="4">
                  <c:v>1411.3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268544"/>
        <c:axId val="148270080"/>
        <c:axId val="0"/>
      </c:bar3DChart>
      <c:catAx>
        <c:axId val="14826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70080"/>
        <c:crosses val="autoZero"/>
        <c:auto val="1"/>
        <c:lblAlgn val="ctr"/>
        <c:lblOffset val="100"/>
        <c:noMultiLvlLbl val="0"/>
      </c:catAx>
      <c:valAx>
        <c:axId val="14827008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826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'Large aggregates'!$F$5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'Large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'Large aggregates'!$G$5:$K$5</c:f>
              <c:numCache>
                <c:formatCode>#,##0.0</c:formatCode>
                <c:ptCount val="5"/>
                <c:pt idx="0">
                  <c:v>3275.5</c:v>
                </c:pt>
                <c:pt idx="1">
                  <c:v>9486.2999999999993</c:v>
                </c:pt>
                <c:pt idx="2">
                  <c:v>2457.4</c:v>
                </c:pt>
                <c:pt idx="3">
                  <c:v>3244.5</c:v>
                </c:pt>
                <c:pt idx="4">
                  <c:v>1107.5999999999999</c:v>
                </c:pt>
              </c:numCache>
            </c:numRef>
          </c:val>
        </c:ser>
        <c:ser>
          <c:idx val="1"/>
          <c:order val="1"/>
          <c:tx>
            <c:strRef>
              <c:f>'Large aggregates'!$F$6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'Large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Manual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'Large aggregates'!$G$6:$K$6</c:f>
              <c:numCache>
                <c:formatCode>#,##0.0</c:formatCode>
                <c:ptCount val="5"/>
                <c:pt idx="0">
                  <c:v>4895.7</c:v>
                </c:pt>
                <c:pt idx="1">
                  <c:v>-1</c:v>
                </c:pt>
                <c:pt idx="2">
                  <c:v>4735</c:v>
                </c:pt>
                <c:pt idx="3">
                  <c:v>4762.7</c:v>
                </c:pt>
                <c:pt idx="4">
                  <c:v>1083.3000000000002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348928"/>
        <c:axId val="148350464"/>
        <c:axId val="0"/>
      </c:bar3DChart>
      <c:catAx>
        <c:axId val="14834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350464"/>
        <c:crosses val="autoZero"/>
        <c:auto val="1"/>
        <c:lblAlgn val="ctr"/>
        <c:lblOffset val="100"/>
        <c:noMultiLvlLbl val="0"/>
      </c:catAx>
      <c:valAx>
        <c:axId val="148350464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834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tartupSerialization" displayName="StartupSerialization" ref="B24:F34">
  <autoFilter ref="B24:F34"/>
  <tableColumns count="5">
    <tableColumn id="2" name="Newtonsoft.Json" totalsRowFunction="custom">
      <totalsRowFormula>AVERAGE(StartupSerialization[Newtonsoft.Json])</totalsRowFormula>
    </tableColumn>
    <tableColumn id="3" name="Jil" totalsRowFunction="custom">
      <totalsRowFormula>AVERAGE(StartupSerialization[Jil])</totalsRowFormula>
    </tableColumn>
    <tableColumn id="4" name="Manual" totalsRowFunction="custom">
      <totalsRowFormula>AVERAGE(StartupSerialization[Manual])</totalsRowFormula>
    </tableColumn>
    <tableColumn id="5" name="Revenj.Json" totalsRowFunction="custom">
      <totalsRowFormula>AVERAGE(StartupSerialization[Revenj.Json])</totalsRowFormula>
    </tableColumn>
    <tableColumn id="6" name="Revenj.Protobuf" totalsRowFunction="custom">
      <totalsRowFormula>AVERAGE(StartupSerialization[Revenj.Protobuf])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SmallValuesBoth" displayName="SmallValuesBoth" ref="H24:L34" totalsRowShown="0">
  <autoFilter ref="H24:L34"/>
  <tableColumns count="5">
    <tableColumn id="2" name="Newtonsoft.Json"/>
    <tableColumn id="3" name="Jil"/>
    <tableColumn id="4" name="Manual"/>
    <tableColumn id="5" name="Revenj.Json"/>
    <tableColumn id="6" name="Revenj.Protobuf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8412" displayName="Table8412" ref="F4:K7" totalsRowShown="0">
  <autoFilter ref="F4:K7"/>
  <tableColumns count="6">
    <tableColumn id="1" name="Average"/>
    <tableColumn id="2" name="Newtonsoft.Json" dataDxfId="49">
      <calculatedColumnFormula>AVERAGE(SmallValuesSerialization[Newtonsoft.Json])</calculatedColumnFormula>
    </tableColumn>
    <tableColumn id="3" name="Jil" dataDxfId="48"/>
    <tableColumn id="4" name="Manual" dataDxfId="47"/>
    <tableColumn id="5" name="Revenj.Json" dataDxfId="46"/>
    <tableColumn id="6" name="Revenj.Protobuf" dataDxfId="4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811513" displayName="Table811513" ref="F12:K14" totalsRowShown="0">
  <autoFilter ref="F12:K14"/>
  <tableColumns count="6">
    <tableColumn id="1" name="Deviation"/>
    <tableColumn id="2" name="Newtonsoft.Json" dataDxfId="44">
      <calculatedColumnFormula>AVERAGE(SmallValuesSerialization[Newtonsoft.Json])</calculatedColumnFormula>
    </tableColumn>
    <tableColumn id="3" name="Jil" dataDxfId="43"/>
    <tableColumn id="4" name="Manual" dataDxfId="42"/>
    <tableColumn id="5" name="Revenj.Json" dataDxfId="41"/>
    <tableColumn id="6" name="Revenj.Protobuf" dataDxfId="4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SmallAggregatesSerialization" displayName="SmallAggregatesSerialization" ref="B24:F34">
  <autoFilter ref="B24:F34"/>
  <tableColumns count="5">
    <tableColumn id="2" name="Newtonsoft.Json" totalsRowFunction="custom">
      <totalsRowFormula>AVERAGE(SmallAggregatesSerialization[Newtonsoft.Json])</totalsRowFormula>
    </tableColumn>
    <tableColumn id="3" name="Jil" totalsRowFunction="custom">
      <totalsRowFormula>AVERAGE(SmallAggregatesSerialization[Jil])</totalsRowFormula>
    </tableColumn>
    <tableColumn id="4" name="Manual" totalsRowFunction="custom">
      <totalsRowFormula>AVERAGE(SmallAggregatesSerialization[Manual])</totalsRowFormula>
    </tableColumn>
    <tableColumn id="5" name="Revenj.Json" totalsRowFunction="custom">
      <totalsRowFormula>AVERAGE(SmallAggregatesSerialization[Revenj.Json])</totalsRowFormula>
    </tableColumn>
    <tableColumn id="6" name="Revenj.Protobuf" totalsRowFunction="custom">
      <totalsRowFormula>AVERAGE(SmallAggregatesSerialization[Revenj.Protobuf])</totalsRow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SmallAggregatesBoth" displayName="SmallAggregatesBoth" ref="H24:L34" totalsRowShown="0">
  <autoFilter ref="H24:L34"/>
  <tableColumns count="5">
    <tableColumn id="2" name="Newtonsoft.Json"/>
    <tableColumn id="3" name="Jil"/>
    <tableColumn id="4" name="Manual"/>
    <tableColumn id="5" name="Revenj.Json"/>
    <tableColumn id="6" name="Revenj.Protobuf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841216" displayName="Table841216" ref="F4:K7" totalsRowShown="0">
  <autoFilter ref="F4:K7"/>
  <tableColumns count="6">
    <tableColumn id="1" name="Average"/>
    <tableColumn id="2" name="Newtonsoft.Json" dataDxfId="39">
      <calculatedColumnFormula>AVERAGE(SmallAggregatesSerialization[Newtonsoft.Json])</calculatedColumnFormula>
    </tableColumn>
    <tableColumn id="3" name="Jil" dataDxfId="38"/>
    <tableColumn id="4" name="Manual" dataDxfId="37"/>
    <tableColumn id="5" name="Revenj.Json" dataDxfId="36"/>
    <tableColumn id="6" name="Revenj.Protobuf" dataDxfId="3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81151317" displayName="Table81151317" ref="F12:K14" totalsRowShown="0">
  <autoFilter ref="F12:K14"/>
  <tableColumns count="6">
    <tableColumn id="1" name="Deviation"/>
    <tableColumn id="2" name="Newtonsoft.Json" dataDxfId="34">
      <calculatedColumnFormula>AVERAGE(SmallAggregatesSerialization[Newtonsoft.Json])</calculatedColumnFormula>
    </tableColumn>
    <tableColumn id="3" name="Jil" dataDxfId="33"/>
    <tableColumn id="4" name="Manual" dataDxfId="32"/>
    <tableColumn id="5" name="Revenj.Json" dataDxfId="31"/>
    <tableColumn id="6" name="Revenj.Protobuf" dataDxfId="3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StandardEventsSerialization" displayName="StandardEventsSerialization" ref="B24:F34">
  <autoFilter ref="B24:F34"/>
  <tableColumns count="5">
    <tableColumn id="2" name="Newtonsoft.Json" totalsRowFunction="custom">
      <totalsRowFormula>AVERAGE(StandardEventsSerialization[Newtonsoft.Json])</totalsRowFormula>
    </tableColumn>
    <tableColumn id="3" name="Jil" totalsRowFunction="custom">
      <totalsRowFormula>AVERAGE(StandardEventsSerialization[Jil])</totalsRowFormula>
    </tableColumn>
    <tableColumn id="4" name="Manual" totalsRowFunction="custom">
      <totalsRowFormula>AVERAGE(StandardEventsSerialization[Manual])</totalsRowFormula>
    </tableColumn>
    <tableColumn id="5" name="Revenj.Json" totalsRowFunction="custom">
      <totalsRowFormula>AVERAGE(StandardEventsSerialization[Revenj.Json])</totalsRowFormula>
    </tableColumn>
    <tableColumn id="6" name="Revenj.Protobuf" totalsRowFunction="custom">
      <totalsRowFormula>AVERAGE(StandardEventsSerialization[Revenj.Protobuf])</totalsRow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tandardEventsBoth" displayName="StandardEventsBoth" ref="H24:L34" totalsRowShown="0">
  <autoFilter ref="H24:L34"/>
  <tableColumns count="5">
    <tableColumn id="2" name="Newtonsoft.Json"/>
    <tableColumn id="3" name="Jil"/>
    <tableColumn id="4" name="Manual"/>
    <tableColumn id="5" name="Revenj.Json"/>
    <tableColumn id="6" name="Revenj.Protobuf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8420" displayName="Table8420" ref="F4:K7" totalsRowShown="0">
  <autoFilter ref="F4:K7"/>
  <tableColumns count="6">
    <tableColumn id="1" name="Average"/>
    <tableColumn id="2" name="Newtonsoft.Json" dataDxfId="29">
      <calculatedColumnFormula>AVERAGE(StandardEventsSerialization[Newtonsoft.Json])</calculatedColumnFormula>
    </tableColumn>
    <tableColumn id="3" name="Jil" dataDxfId="28"/>
    <tableColumn id="4" name="Manual" dataDxfId="27"/>
    <tableColumn id="5" name="Revenj.Json" dataDxfId="26"/>
    <tableColumn id="6" name="Revenj.Protobuf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tartupBoth" displayName="StartupBoth" ref="H24:L34" totalsRowShown="0">
  <autoFilter ref="H24:L34"/>
  <tableColumns count="5">
    <tableColumn id="2" name="Newtonsoft.Json"/>
    <tableColumn id="3" name="Jil"/>
    <tableColumn id="4" name="Manual"/>
    <tableColumn id="5" name="Revenj.Json"/>
    <tableColumn id="6" name="Revenj.Protobuf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e811521" displayName="Table811521" ref="F12:K14" totalsRowShown="0">
  <autoFilter ref="F12:K14"/>
  <tableColumns count="6">
    <tableColumn id="1" name="Deviation"/>
    <tableColumn id="2" name="Newtonsoft.Json" dataDxfId="24">
      <calculatedColumnFormula>AVERAGE(StandardEventsSerialization[Newtonsoft.Json])</calculatedColumnFormula>
    </tableColumn>
    <tableColumn id="3" name="Jil" dataDxfId="23"/>
    <tableColumn id="4" name="Manual" dataDxfId="22"/>
    <tableColumn id="5" name="Revenj.Json" dataDxfId="21"/>
    <tableColumn id="6" name="Revenj.Protobuf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StandardAggregatesSerialization" displayName="StandardAggregatesSerialization" ref="B24:F34">
  <autoFilter ref="B24:F34"/>
  <tableColumns count="5">
    <tableColumn id="2" name="Newtonsoft.Json" totalsRowFunction="custom">
      <totalsRowFormula>AVERAGE(StandardAggregatesSerialization[Newtonsoft.Json])</totalsRowFormula>
    </tableColumn>
    <tableColumn id="3" name="Jil" totalsRowFunction="custom">
      <totalsRowFormula>AVERAGE(StandardAggregatesSerialization[Jil])</totalsRowFormula>
    </tableColumn>
    <tableColumn id="4" name="Manual" totalsRowFunction="custom">
      <totalsRowFormula>AVERAGE(StandardAggregatesSerialization[Manual])</totalsRowFormula>
    </tableColumn>
    <tableColumn id="5" name="Revenj.Json" totalsRowFunction="custom">
      <totalsRowFormula>AVERAGE(StandardAggregatesSerialization[Revenj.Json])</totalsRowFormula>
    </tableColumn>
    <tableColumn id="6" name="Revenj.Protobuf" totalsRowFunction="custom">
      <totalsRowFormula>AVERAGE(StandardAggregatesSerialization[Revenj.Protobuf])</totalsRow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StandardAggregatesBoth" displayName="StandardAggregatesBoth" ref="H24:L34" totalsRowShown="0">
  <autoFilter ref="H24:L34"/>
  <tableColumns count="5">
    <tableColumn id="2" name="Newtonsoft.Json"/>
    <tableColumn id="3" name="Jil"/>
    <tableColumn id="4" name="Manual"/>
    <tableColumn id="5" name="Revenj.Json"/>
    <tableColumn id="6" name="Revenj.Protobuf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Table84121624" displayName="Table84121624" ref="F4:K7" totalsRowShown="0">
  <autoFilter ref="F4:K7"/>
  <tableColumns count="6">
    <tableColumn id="1" name="Average"/>
    <tableColumn id="2" name="Newtonsoft.Json" dataDxfId="19">
      <calculatedColumnFormula>AVERAGE(StandardAggregatesSerialization[Newtonsoft.Json])</calculatedColumnFormula>
    </tableColumn>
    <tableColumn id="3" name="Jil" dataDxfId="18"/>
    <tableColumn id="4" name="Manual" dataDxfId="17"/>
    <tableColumn id="5" name="Revenj.Json" dataDxfId="16"/>
    <tableColumn id="6" name="Revenj.Protobuf" dataDxfId="1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le8115131725" displayName="Table8115131725" ref="F12:K14" totalsRowShown="0">
  <autoFilter ref="F12:K14"/>
  <tableColumns count="6">
    <tableColumn id="1" name="Deviation"/>
    <tableColumn id="2" name="Newtonsoft.Json" dataDxfId="14">
      <calculatedColumnFormula>AVERAGE(StandardAggregatesSerialization[Newtonsoft.Json])</calculatedColumnFormula>
    </tableColumn>
    <tableColumn id="3" name="Jil" dataDxfId="13"/>
    <tableColumn id="4" name="Manual" dataDxfId="12"/>
    <tableColumn id="5" name="Revenj.Json" dataDxfId="11"/>
    <tableColumn id="6" name="Revenj.Protobuf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LargeAggregatesSerialization" displayName="LargeAggregatesSerialization" ref="B24:F34">
  <autoFilter ref="B24:F34"/>
  <tableColumns count="5">
    <tableColumn id="2" name="Newtonsoft.Json" totalsRowFunction="custom">
      <totalsRowFormula>AVERAGE(LargeAggregatesSerialization[Newtonsoft.Json])</totalsRowFormula>
    </tableColumn>
    <tableColumn id="3" name="Jil" totalsRowFunction="custom">
      <totalsRowFormula>AVERAGE(LargeAggregatesSerialization[Jil])</totalsRowFormula>
    </tableColumn>
    <tableColumn id="4" name="Manual" totalsRowFunction="custom">
      <totalsRowFormula>AVERAGE(LargeAggregatesSerialization[Manual])</totalsRowFormula>
    </tableColumn>
    <tableColumn id="5" name="Revenj.Json" totalsRowFunction="custom">
      <totalsRowFormula>AVERAGE(LargeAggregatesSerialization[Revenj.Json])</totalsRowFormula>
    </tableColumn>
    <tableColumn id="6" name="Revenj.Protobuf" totalsRowFunction="custom">
      <totalsRowFormula>AVERAGE(LargeAggregatesSerialization[Revenj.Protobuf])</totalsRow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LargeAggregatesBoth" displayName="LargeAggregatesBoth" ref="H24:L34" totalsRowShown="0">
  <autoFilter ref="H24:L34"/>
  <tableColumns count="5">
    <tableColumn id="2" name="Newtonsoft.Json"/>
    <tableColumn id="3" name="Jil"/>
    <tableColumn id="4" name="Manual"/>
    <tableColumn id="5" name="Revenj.Json"/>
    <tableColumn id="6" name="Revenj.Protobuf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Table8412162428" displayName="Table8412162428" ref="F4:K7" totalsRowShown="0">
  <autoFilter ref="F4:K7"/>
  <tableColumns count="6">
    <tableColumn id="1" name="Average"/>
    <tableColumn id="2" name="Newtonsoft.Json" dataDxfId="9">
      <calculatedColumnFormula>AVERAGE(LargeAggregatesSerialization[Newtonsoft.Json])</calculatedColumnFormula>
    </tableColumn>
    <tableColumn id="3" name="Jil" dataDxfId="8"/>
    <tableColumn id="4" name="Manual" dataDxfId="7"/>
    <tableColumn id="5" name="Revenj.Json" dataDxfId="6"/>
    <tableColumn id="6" name="Revenj.Protobuf" dataDxfId="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811513172529" displayName="Table811513172529" ref="F12:K14" totalsRowShown="0">
  <autoFilter ref="F12:K14"/>
  <tableColumns count="6">
    <tableColumn id="1" name="Deviation"/>
    <tableColumn id="2" name="Newtonsoft.Json" dataDxfId="4">
      <calculatedColumnFormula>AVERAGE(LargeAggregatesSerialization[Newtonsoft.Json])</calculatedColumnFormula>
    </tableColumn>
    <tableColumn id="3" name="Jil" dataDxfId="3"/>
    <tableColumn id="4" name="Manual" dataDxfId="2"/>
    <tableColumn id="5" name="Revenj.Json" dataDxfId="1"/>
    <tableColumn id="6" name="Revenj.Protobuf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F4:K7" totalsRowShown="0">
  <autoFilter ref="F4:K7"/>
  <tableColumns count="6">
    <tableColumn id="1" name="Average"/>
    <tableColumn id="2" name="Newtonsoft.Json" dataDxfId="69">
      <calculatedColumnFormula>AVERAGE(StartupSerialization[Newtonsoft.Json])</calculatedColumnFormula>
    </tableColumn>
    <tableColumn id="3" name="Jil" dataDxfId="68"/>
    <tableColumn id="4" name="Manual" dataDxfId="67"/>
    <tableColumn id="5" name="Revenj.Json" dataDxfId="66"/>
    <tableColumn id="6" name="Revenj.Protobuf" dataDxfId="6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811" displayName="Table811" ref="F12:K14" totalsRowShown="0">
  <autoFilter ref="F12:K14"/>
  <tableColumns count="6">
    <tableColumn id="1" name="Deviation"/>
    <tableColumn id="2" name="Newtonsoft.Json" dataDxfId="64">
      <calculatedColumnFormula>AVERAGE(StartupSerialization[Newtonsoft.Json])</calculatedColumnFormula>
    </tableColumn>
    <tableColumn id="3" name="Jil" dataDxfId="63"/>
    <tableColumn id="4" name="Manual" dataDxfId="62"/>
    <tableColumn id="5" name="Revenj.Json" dataDxfId="61"/>
    <tableColumn id="6" name="Revenj.Protobuf" dataDxfId="6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SmallEventsSerialization" displayName="SmallEventsSerialization" ref="B24:F34">
  <autoFilter ref="B24:F34"/>
  <tableColumns count="5">
    <tableColumn id="2" name="Newtonsoft.Json" totalsRowFunction="custom">
      <totalsRowFormula>AVERAGE(SmallEventsSerialization[Newtonsoft.Json])</totalsRowFormula>
    </tableColumn>
    <tableColumn id="3" name="Jil" totalsRowFunction="custom">
      <totalsRowFormula>AVERAGE(SmallEventsSerialization[Jil])</totalsRowFormula>
    </tableColumn>
    <tableColumn id="4" name="Manual" totalsRowFunction="custom">
      <totalsRowFormula>AVERAGE(SmallEventsSerialization[Manual])</totalsRowFormula>
    </tableColumn>
    <tableColumn id="5" name="Revenj.Json" totalsRowFunction="custom">
      <totalsRowFormula>AVERAGE(SmallEventsSerialization[Revenj.Json])</totalsRowFormula>
    </tableColumn>
    <tableColumn id="6" name="Revenj.Protobuf" totalsRowFunction="custom">
      <totalsRowFormula>AVERAGE(SmallEventsSerialization[Revenj.Protobuf])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SmallEventsBoth" displayName="SmallEventsBoth" ref="H24:L34" totalsRowShown="0">
  <autoFilter ref="H24:L34"/>
  <tableColumns count="5">
    <tableColumn id="2" name="Newtonsoft.Json"/>
    <tableColumn id="3" name="Jil"/>
    <tableColumn id="4" name="Manual"/>
    <tableColumn id="5" name="Revenj.Json"/>
    <tableColumn id="6" name="Revenj.Protobu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e84" displayName="Table84" ref="F4:K7" totalsRowShown="0">
  <autoFilter ref="F4:K7"/>
  <tableColumns count="6">
    <tableColumn id="1" name="Average"/>
    <tableColumn id="2" name="Newtonsoft.Json" dataDxfId="59">
      <calculatedColumnFormula>AVERAGE(SmallEventsSerialization[Newtonsoft.Json])</calculatedColumnFormula>
    </tableColumn>
    <tableColumn id="3" name="Jil" dataDxfId="58"/>
    <tableColumn id="4" name="Manual" dataDxfId="57"/>
    <tableColumn id="5" name="Revenj.Json" dataDxfId="56"/>
    <tableColumn id="6" name="Revenj.Protobuf" dataDxfId="5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8115" displayName="Table8115" ref="F12:K14" totalsRowShown="0">
  <autoFilter ref="F12:K14"/>
  <tableColumns count="6">
    <tableColumn id="1" name="Deviation"/>
    <tableColumn id="2" name="Newtonsoft.Json" dataDxfId="54">
      <calculatedColumnFormula>AVERAGE(SmallEventsSerialization[Newtonsoft.Json])</calculatedColumnFormula>
    </tableColumn>
    <tableColumn id="3" name="Jil" dataDxfId="53"/>
    <tableColumn id="4" name="Manual" dataDxfId="52"/>
    <tableColumn id="5" name="Revenj.Json" dataDxfId="51"/>
    <tableColumn id="6" name="Revenj.Protobuf" dataDxfId="5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SmallValuesSerialization" displayName="SmallValuesSerialization" ref="B24:F34">
  <autoFilter ref="B24:F34"/>
  <tableColumns count="5">
    <tableColumn id="2" name="Newtonsoft.Json" totalsRowFunction="custom">
      <totalsRowFormula>AVERAGE(SmallValuesSerialization[Newtonsoft.Json])</totalsRowFormula>
    </tableColumn>
    <tableColumn id="3" name="Jil" totalsRowFunction="custom">
      <totalsRowFormula>AVERAGE(SmallValuesSerialization[Jil])</totalsRowFormula>
    </tableColumn>
    <tableColumn id="4" name="Manual" totalsRowFunction="custom">
      <totalsRowFormula>AVERAGE(SmallValuesSerialization[Manual])</totalsRowFormula>
    </tableColumn>
    <tableColumn id="5" name="Revenj.Json" totalsRowFunction="custom">
      <totalsRowFormula>AVERAGE(SmallValuesSerialization[Revenj.Json])</totalsRowFormula>
    </tableColumn>
    <tableColumn id="6" name="Revenj.Protobuf" totalsRowFunction="custom">
      <totalsRowFormula>AVERAGE(SmallValuesSerialization[Revenj.Protobuf])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4"/>
  <sheetViews>
    <sheetView tabSelected="1" workbookViewId="0">
      <selection activeCell="B20" sqref="B20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0.85546875" customWidth="1"/>
    <col min="10" max="10" width="14.7109375" customWidth="1"/>
    <col min="11" max="11" width="18" customWidth="1"/>
    <col min="12" max="12" width="21.28515625" customWidth="1"/>
  </cols>
  <sheetData>
    <row r="4" spans="6:11" x14ac:dyDescent="0.25">
      <c r="F4" t="s">
        <v>9</v>
      </c>
      <c r="G4" t="s">
        <v>5</v>
      </c>
      <c r="H4" t="s">
        <v>0</v>
      </c>
      <c r="I4" t="s">
        <v>6</v>
      </c>
      <c r="J4" t="s">
        <v>1</v>
      </c>
      <c r="K4" t="s">
        <v>2</v>
      </c>
    </row>
    <row r="5" spans="6:11" x14ac:dyDescent="0.25">
      <c r="F5" t="s">
        <v>3</v>
      </c>
      <c r="G5" s="2">
        <f>AVERAGE(StartupSerialization[Newtonsoft.Json])</f>
        <v>116.1</v>
      </c>
      <c r="H5" s="2">
        <f>AVERAGE(StartupSerialization[Jil])</f>
        <v>266.2</v>
      </c>
      <c r="I5" s="2">
        <f>AVERAGE(StartupSerialization[Manual])</f>
        <v>11</v>
      </c>
      <c r="J5" s="2">
        <f>AVERAGE(StartupSerialization[Revenj.Json])</f>
        <v>119.1</v>
      </c>
      <c r="K5" s="2">
        <f>AVERAGE(StartupSerialization[Revenj.Protobuf])</f>
        <v>57.7</v>
      </c>
    </row>
    <row r="6" spans="6:11" x14ac:dyDescent="0.25">
      <c r="F6" t="s">
        <v>7</v>
      </c>
      <c r="G6" s="2">
        <f>G7-G5</f>
        <v>40.099999999999994</v>
      </c>
      <c r="H6" s="2">
        <f t="shared" ref="H6:K6" si="0">H7-H5</f>
        <v>79.100000000000023</v>
      </c>
      <c r="I6" s="2">
        <f t="shared" si="0"/>
        <v>5</v>
      </c>
      <c r="J6" s="2">
        <f t="shared" si="0"/>
        <v>31.200000000000017</v>
      </c>
      <c r="K6" s="2">
        <f t="shared" si="0"/>
        <v>7.5999999999999943</v>
      </c>
    </row>
    <row r="7" spans="6:11" x14ac:dyDescent="0.25">
      <c r="F7" t="s">
        <v>4</v>
      </c>
      <c r="G7" s="2">
        <f>AVERAGE(StartupBoth[Newtonsoft.Json])</f>
        <v>156.19999999999999</v>
      </c>
      <c r="H7" s="2">
        <f>AVERAGE(StartupBoth[Jil])</f>
        <v>345.3</v>
      </c>
      <c r="I7" s="2">
        <f>AVERAGE(StartupBoth[Manual])</f>
        <v>16</v>
      </c>
      <c r="J7" s="2">
        <f>AVERAGE(StartupBoth[Revenj.Json])</f>
        <v>150.30000000000001</v>
      </c>
      <c r="K7" s="2">
        <f>AVERAGE(StartupBoth[Revenj.Protobuf])</f>
        <v>65.3</v>
      </c>
    </row>
    <row r="12" spans="6:11" x14ac:dyDescent="0.25">
      <c r="F12" t="s">
        <v>10</v>
      </c>
      <c r="G12" t="s">
        <v>5</v>
      </c>
      <c r="H12" t="s">
        <v>0</v>
      </c>
      <c r="I12" t="s">
        <v>6</v>
      </c>
      <c r="J12" t="s">
        <v>1</v>
      </c>
      <c r="K12" t="s">
        <v>2</v>
      </c>
    </row>
    <row r="13" spans="6:11" x14ac:dyDescent="0.25">
      <c r="F13" t="s">
        <v>3</v>
      </c>
      <c r="G13" s="2">
        <f>DEVSQ(StartupSerialization[Newtonsoft.Json])</f>
        <v>462.89999999999992</v>
      </c>
      <c r="H13" s="2">
        <f>DEVSQ(StartupSerialization[Jil])</f>
        <v>2337.6000000000004</v>
      </c>
      <c r="I13" s="2">
        <f>DEVSQ(StartupSerialization[Manual])</f>
        <v>114</v>
      </c>
      <c r="J13" s="2">
        <f>DEVSQ(StartupSerialization[Revenj.Json])</f>
        <v>3372.8999999999996</v>
      </c>
      <c r="K13" s="2">
        <f>DEVSQ(StartupSerialization[Revenj.Protobuf])</f>
        <v>784.1</v>
      </c>
    </row>
    <row r="14" spans="6:11" x14ac:dyDescent="0.25">
      <c r="F14" t="s">
        <v>4</v>
      </c>
      <c r="G14" s="2">
        <f>DEVSQ(StartupBoth[Newtonsoft.Json])</f>
        <v>409.59999999999991</v>
      </c>
      <c r="H14" s="2">
        <f>DEVSQ(StartupBoth[Jil])</f>
        <v>1094.0999999999999</v>
      </c>
      <c r="I14" s="2">
        <f>DEVSQ(StartupBoth[Manual])</f>
        <v>2</v>
      </c>
      <c r="J14" s="2">
        <f>DEVSQ(StartupBoth[Revenj.Json])</f>
        <v>180.09999999999997</v>
      </c>
      <c r="K14" s="2">
        <f>DEVSQ(StartupBoth[Revenj.Protobuf])</f>
        <v>250.10000000000005</v>
      </c>
    </row>
    <row r="15" spans="6:11" x14ac:dyDescent="0.25">
      <c r="G15" s="2"/>
      <c r="H15" s="2"/>
      <c r="I15" s="2"/>
      <c r="J15" s="2"/>
      <c r="K15" s="2"/>
    </row>
    <row r="19" spans="2:12" x14ac:dyDescent="0.25">
      <c r="B19" t="s">
        <v>12</v>
      </c>
    </row>
    <row r="23" spans="2:12" x14ac:dyDescent="0.25">
      <c r="B23" s="1" t="s">
        <v>8</v>
      </c>
      <c r="H23" s="1" t="s">
        <v>11</v>
      </c>
    </row>
    <row r="24" spans="2:12" x14ac:dyDescent="0.25">
      <c r="B24" t="s">
        <v>5</v>
      </c>
      <c r="C24" t="s">
        <v>0</v>
      </c>
      <c r="D24" t="s">
        <v>6</v>
      </c>
      <c r="E24" t="s">
        <v>1</v>
      </c>
      <c r="F24" t="s">
        <v>2</v>
      </c>
      <c r="H24" t="s">
        <v>5</v>
      </c>
      <c r="I24" t="s">
        <v>0</v>
      </c>
      <c r="J24" t="s">
        <v>6</v>
      </c>
      <c r="K24" t="s">
        <v>1</v>
      </c>
      <c r="L24" t="s">
        <v>2</v>
      </c>
    </row>
    <row r="25" spans="2:12" x14ac:dyDescent="0.25">
      <c r="B25">
        <v>129</v>
      </c>
      <c r="C25">
        <v>256</v>
      </c>
      <c r="D25">
        <v>16</v>
      </c>
      <c r="E25">
        <v>143</v>
      </c>
      <c r="F25">
        <v>55</v>
      </c>
      <c r="H25">
        <v>153</v>
      </c>
      <c r="I25">
        <v>349</v>
      </c>
      <c r="J25">
        <v>16</v>
      </c>
      <c r="K25">
        <v>146</v>
      </c>
      <c r="L25">
        <v>74</v>
      </c>
    </row>
    <row r="26" spans="2:12" x14ac:dyDescent="0.25">
      <c r="B26">
        <v>110</v>
      </c>
      <c r="C26">
        <v>263</v>
      </c>
      <c r="D26">
        <v>9</v>
      </c>
      <c r="E26">
        <v>105</v>
      </c>
      <c r="F26">
        <v>55</v>
      </c>
      <c r="H26">
        <v>152</v>
      </c>
      <c r="I26">
        <v>338</v>
      </c>
      <c r="J26">
        <v>16</v>
      </c>
      <c r="K26">
        <v>146</v>
      </c>
      <c r="L26">
        <v>76</v>
      </c>
    </row>
    <row r="27" spans="2:12" x14ac:dyDescent="0.25">
      <c r="B27">
        <v>109</v>
      </c>
      <c r="C27">
        <v>291</v>
      </c>
      <c r="D27">
        <v>9</v>
      </c>
      <c r="E27">
        <v>144</v>
      </c>
      <c r="F27">
        <v>84</v>
      </c>
      <c r="H27">
        <v>151</v>
      </c>
      <c r="I27">
        <v>345</v>
      </c>
      <c r="J27">
        <v>17</v>
      </c>
      <c r="K27">
        <v>148</v>
      </c>
      <c r="L27">
        <v>62</v>
      </c>
    </row>
    <row r="28" spans="2:12" x14ac:dyDescent="0.25">
      <c r="B28">
        <v>126</v>
      </c>
      <c r="C28">
        <v>289</v>
      </c>
      <c r="D28">
        <v>19</v>
      </c>
      <c r="E28">
        <v>152</v>
      </c>
      <c r="F28">
        <v>54</v>
      </c>
      <c r="H28">
        <v>152</v>
      </c>
      <c r="I28">
        <v>371</v>
      </c>
      <c r="J28">
        <v>16</v>
      </c>
      <c r="K28">
        <v>158</v>
      </c>
      <c r="L28">
        <v>61</v>
      </c>
    </row>
    <row r="29" spans="2:12" x14ac:dyDescent="0.25">
      <c r="B29">
        <v>111</v>
      </c>
      <c r="C29">
        <v>287</v>
      </c>
      <c r="D29">
        <v>9</v>
      </c>
      <c r="E29">
        <v>107</v>
      </c>
      <c r="F29">
        <v>55</v>
      </c>
      <c r="H29">
        <v>152</v>
      </c>
      <c r="I29">
        <v>335</v>
      </c>
      <c r="J29">
        <v>16</v>
      </c>
      <c r="K29">
        <v>150</v>
      </c>
      <c r="L29">
        <v>64</v>
      </c>
    </row>
    <row r="30" spans="2:12" x14ac:dyDescent="0.25">
      <c r="B30">
        <v>113</v>
      </c>
      <c r="C30">
        <v>252</v>
      </c>
      <c r="D30">
        <v>9</v>
      </c>
      <c r="E30">
        <v>106</v>
      </c>
      <c r="F30">
        <v>55</v>
      </c>
      <c r="H30">
        <v>153</v>
      </c>
      <c r="I30">
        <v>351</v>
      </c>
      <c r="J30">
        <v>16</v>
      </c>
      <c r="K30">
        <v>146</v>
      </c>
      <c r="L30">
        <v>62</v>
      </c>
    </row>
    <row r="31" spans="2:12" x14ac:dyDescent="0.25">
      <c r="B31">
        <v>119</v>
      </c>
      <c r="C31">
        <v>254</v>
      </c>
      <c r="D31">
        <v>9</v>
      </c>
      <c r="E31">
        <v>118</v>
      </c>
      <c r="F31">
        <v>53</v>
      </c>
      <c r="H31">
        <v>153</v>
      </c>
      <c r="I31">
        <v>345</v>
      </c>
      <c r="J31">
        <v>16</v>
      </c>
      <c r="K31">
        <v>150</v>
      </c>
      <c r="L31">
        <v>64</v>
      </c>
    </row>
    <row r="32" spans="2:12" x14ac:dyDescent="0.25">
      <c r="B32">
        <v>109</v>
      </c>
      <c r="C32">
        <v>253</v>
      </c>
      <c r="D32">
        <v>11</v>
      </c>
      <c r="E32">
        <v>105</v>
      </c>
      <c r="F32">
        <v>54</v>
      </c>
      <c r="H32">
        <v>163</v>
      </c>
      <c r="I32">
        <v>336</v>
      </c>
      <c r="J32">
        <v>16</v>
      </c>
      <c r="K32">
        <v>151</v>
      </c>
      <c r="L32">
        <v>63</v>
      </c>
    </row>
    <row r="33" spans="2:12" x14ac:dyDescent="0.25">
      <c r="B33">
        <v>120</v>
      </c>
      <c r="C33">
        <v>256</v>
      </c>
      <c r="D33">
        <v>10</v>
      </c>
      <c r="E33">
        <v>108</v>
      </c>
      <c r="F33">
        <v>54</v>
      </c>
      <c r="H33">
        <v>171</v>
      </c>
      <c r="I33">
        <v>334</v>
      </c>
      <c r="J33">
        <v>15</v>
      </c>
      <c r="K33">
        <v>150</v>
      </c>
      <c r="L33">
        <v>65</v>
      </c>
    </row>
    <row r="34" spans="2:12" x14ac:dyDescent="0.25">
      <c r="B34">
        <v>115</v>
      </c>
      <c r="C34">
        <v>261</v>
      </c>
      <c r="D34">
        <v>9</v>
      </c>
      <c r="E34">
        <v>103</v>
      </c>
      <c r="F34">
        <v>58</v>
      </c>
      <c r="H34">
        <v>162</v>
      </c>
      <c r="I34">
        <v>349</v>
      </c>
      <c r="J34">
        <v>16</v>
      </c>
      <c r="K34">
        <v>158</v>
      </c>
      <c r="L34">
        <v>62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4"/>
  <sheetViews>
    <sheetView workbookViewId="0">
      <selection activeCell="B20" sqref="B20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0.85546875" customWidth="1"/>
    <col min="10" max="10" width="14.7109375" customWidth="1"/>
    <col min="11" max="11" width="18" customWidth="1"/>
    <col min="12" max="12" width="21.28515625" customWidth="1"/>
  </cols>
  <sheetData>
    <row r="4" spans="6:11" x14ac:dyDescent="0.25">
      <c r="F4" t="s">
        <v>9</v>
      </c>
      <c r="G4" t="s">
        <v>5</v>
      </c>
      <c r="H4" t="s">
        <v>0</v>
      </c>
      <c r="I4" t="s">
        <v>6</v>
      </c>
      <c r="J4" t="s">
        <v>1</v>
      </c>
      <c r="K4" t="s">
        <v>2</v>
      </c>
    </row>
    <row r="5" spans="6:11" x14ac:dyDescent="0.25">
      <c r="F5" t="s">
        <v>3</v>
      </c>
      <c r="G5" s="2">
        <f>AVERAGE(SmallEventsSerialization[Newtonsoft.Json])</f>
        <v>487.8</v>
      </c>
      <c r="H5" s="2">
        <f>AVERAGE(SmallEventsSerialization[Jil])</f>
        <v>633.5</v>
      </c>
      <c r="I5" s="2">
        <f>AVERAGE(SmallEventsSerialization[Manual])</f>
        <v>313.8</v>
      </c>
      <c r="J5" s="2">
        <f>AVERAGE(SmallEventsSerialization[Revenj.Json])</f>
        <v>545.4</v>
      </c>
      <c r="K5" s="2">
        <f>AVERAGE(SmallEventsSerialization[Revenj.Protobuf])</f>
        <v>158.19999999999999</v>
      </c>
    </row>
    <row r="6" spans="6:11" x14ac:dyDescent="0.25">
      <c r="F6" t="s">
        <v>7</v>
      </c>
      <c r="G6" s="2">
        <f>G7-G5</f>
        <v>772</v>
      </c>
      <c r="H6" s="2">
        <f t="shared" ref="H6:K6" si="0">H7-H5</f>
        <v>404.70000000000005</v>
      </c>
      <c r="I6" s="2">
        <f t="shared" si="0"/>
        <v>409.3</v>
      </c>
      <c r="J6" s="2">
        <f t="shared" si="0"/>
        <v>818.4</v>
      </c>
      <c r="K6" s="2">
        <f t="shared" si="0"/>
        <v>155.19999999999999</v>
      </c>
    </row>
    <row r="7" spans="6:11" x14ac:dyDescent="0.25">
      <c r="F7" t="s">
        <v>4</v>
      </c>
      <c r="G7" s="2">
        <f>AVERAGE(SmallEventsBoth[Newtonsoft.Json])</f>
        <v>1259.8</v>
      </c>
      <c r="H7" s="2">
        <f>AVERAGE(SmallEventsBoth[Jil])</f>
        <v>1038.2</v>
      </c>
      <c r="I7" s="2">
        <f>AVERAGE(SmallEventsBoth[Manual])</f>
        <v>723.1</v>
      </c>
      <c r="J7" s="2">
        <f>AVERAGE(SmallEventsBoth[Revenj.Json])</f>
        <v>1363.8</v>
      </c>
      <c r="K7" s="2">
        <f>AVERAGE(SmallEventsBoth[Revenj.Protobuf])</f>
        <v>313.39999999999998</v>
      </c>
    </row>
    <row r="12" spans="6:11" x14ac:dyDescent="0.25">
      <c r="F12" t="s">
        <v>10</v>
      </c>
      <c r="G12" t="s">
        <v>5</v>
      </c>
      <c r="H12" t="s">
        <v>0</v>
      </c>
      <c r="I12" t="s">
        <v>6</v>
      </c>
      <c r="J12" t="s">
        <v>1</v>
      </c>
      <c r="K12" t="s">
        <v>2</v>
      </c>
    </row>
    <row r="13" spans="6:11" x14ac:dyDescent="0.25">
      <c r="F13" t="s">
        <v>3</v>
      </c>
      <c r="G13" s="2">
        <f>DEVSQ(SmallEventsSerialization[Newtonsoft.Json])</f>
        <v>1481.6000000000001</v>
      </c>
      <c r="H13" s="2">
        <f>DEVSQ(SmallEventsSerialization[Jil])</f>
        <v>966.5</v>
      </c>
      <c r="I13" s="2">
        <f>DEVSQ(SmallEventsSerialization[Manual])</f>
        <v>513.6</v>
      </c>
      <c r="J13" s="2">
        <f>DEVSQ(SmallEventsSerialization[Revenj.Json])</f>
        <v>1356.4</v>
      </c>
      <c r="K13" s="2">
        <f>DEVSQ(SmallEventsSerialization[Revenj.Protobuf])</f>
        <v>503.6</v>
      </c>
    </row>
    <row r="14" spans="6:11" x14ac:dyDescent="0.25">
      <c r="F14" t="s">
        <v>4</v>
      </c>
      <c r="G14" s="2">
        <f>DEVSQ(SmallEventsBoth[Newtonsoft.Json])</f>
        <v>2421.6</v>
      </c>
      <c r="H14" s="2">
        <f>DEVSQ(SmallEventsBoth[Jil])</f>
        <v>5513.5999999999985</v>
      </c>
      <c r="I14" s="2">
        <f>DEVSQ(SmallEventsBoth[Manual])</f>
        <v>3288.9</v>
      </c>
      <c r="J14" s="2">
        <f>DEVSQ(SmallEventsBoth[Revenj.Json])</f>
        <v>31909.599999999999</v>
      </c>
      <c r="K14" s="2">
        <f>DEVSQ(SmallEventsBoth[Revenj.Protobuf])</f>
        <v>1818.4</v>
      </c>
    </row>
    <row r="15" spans="6:11" x14ac:dyDescent="0.25">
      <c r="G15" s="2"/>
      <c r="H15" s="2"/>
      <c r="I15" s="2"/>
      <c r="J15" s="2"/>
      <c r="K15" s="2"/>
    </row>
    <row r="19" spans="2:12" x14ac:dyDescent="0.25">
      <c r="B19" t="s">
        <v>13</v>
      </c>
    </row>
    <row r="23" spans="2:12" x14ac:dyDescent="0.25">
      <c r="B23" s="1" t="s">
        <v>8</v>
      </c>
      <c r="H23" s="1" t="s">
        <v>11</v>
      </c>
    </row>
    <row r="24" spans="2:12" x14ac:dyDescent="0.25">
      <c r="B24" t="s">
        <v>5</v>
      </c>
      <c r="C24" t="s">
        <v>0</v>
      </c>
      <c r="D24" t="s">
        <v>6</v>
      </c>
      <c r="E24" t="s">
        <v>1</v>
      </c>
      <c r="F24" t="s">
        <v>2</v>
      </c>
      <c r="H24" t="s">
        <v>5</v>
      </c>
      <c r="I24" t="s">
        <v>0</v>
      </c>
      <c r="J24" t="s">
        <v>6</v>
      </c>
      <c r="K24" t="s">
        <v>1</v>
      </c>
      <c r="L24" t="s">
        <v>2</v>
      </c>
    </row>
    <row r="25" spans="2:12" x14ac:dyDescent="0.25">
      <c r="B25">
        <v>504</v>
      </c>
      <c r="C25">
        <v>636</v>
      </c>
      <c r="D25">
        <v>316</v>
      </c>
      <c r="E25">
        <v>551</v>
      </c>
      <c r="F25">
        <v>158</v>
      </c>
      <c r="H25">
        <v>1260</v>
      </c>
      <c r="I25">
        <v>1044</v>
      </c>
      <c r="J25">
        <v>727</v>
      </c>
      <c r="K25">
        <v>1333</v>
      </c>
      <c r="L25">
        <v>299</v>
      </c>
    </row>
    <row r="26" spans="2:12" x14ac:dyDescent="0.25">
      <c r="B26">
        <v>492</v>
      </c>
      <c r="C26">
        <v>630</v>
      </c>
      <c r="D26">
        <v>315</v>
      </c>
      <c r="E26">
        <v>536</v>
      </c>
      <c r="F26">
        <v>153</v>
      </c>
      <c r="H26">
        <v>1275</v>
      </c>
      <c r="I26">
        <v>1012</v>
      </c>
      <c r="J26">
        <v>727</v>
      </c>
      <c r="K26">
        <v>1347</v>
      </c>
      <c r="L26">
        <v>311</v>
      </c>
    </row>
    <row r="27" spans="2:12" x14ac:dyDescent="0.25">
      <c r="B27">
        <v>481</v>
      </c>
      <c r="C27">
        <v>636</v>
      </c>
      <c r="D27">
        <v>304</v>
      </c>
      <c r="E27">
        <v>546</v>
      </c>
      <c r="F27">
        <v>168</v>
      </c>
      <c r="H27">
        <v>1251</v>
      </c>
      <c r="I27">
        <v>1043</v>
      </c>
      <c r="J27">
        <v>704</v>
      </c>
      <c r="K27">
        <v>1532</v>
      </c>
      <c r="L27">
        <v>337</v>
      </c>
    </row>
    <row r="28" spans="2:12" x14ac:dyDescent="0.25">
      <c r="B28">
        <v>487</v>
      </c>
      <c r="C28">
        <v>652</v>
      </c>
      <c r="D28">
        <v>315</v>
      </c>
      <c r="E28">
        <v>549</v>
      </c>
      <c r="F28">
        <v>150</v>
      </c>
      <c r="H28">
        <v>1257</v>
      </c>
      <c r="I28">
        <v>1044</v>
      </c>
      <c r="J28">
        <v>710</v>
      </c>
      <c r="K28">
        <v>1341</v>
      </c>
      <c r="L28">
        <v>308</v>
      </c>
    </row>
    <row r="29" spans="2:12" x14ac:dyDescent="0.25">
      <c r="B29">
        <v>504</v>
      </c>
      <c r="C29">
        <v>622</v>
      </c>
      <c r="D29">
        <v>320</v>
      </c>
      <c r="E29">
        <v>538</v>
      </c>
      <c r="F29">
        <v>152</v>
      </c>
      <c r="H29">
        <v>1247</v>
      </c>
      <c r="I29">
        <v>1049</v>
      </c>
      <c r="J29">
        <v>733</v>
      </c>
      <c r="K29">
        <v>1344</v>
      </c>
      <c r="L29">
        <v>307</v>
      </c>
    </row>
    <row r="30" spans="2:12" x14ac:dyDescent="0.25">
      <c r="B30">
        <v>475</v>
      </c>
      <c r="C30">
        <v>639</v>
      </c>
      <c r="D30">
        <v>321</v>
      </c>
      <c r="E30">
        <v>558</v>
      </c>
      <c r="F30">
        <v>152</v>
      </c>
      <c r="H30">
        <v>1296</v>
      </c>
      <c r="I30">
        <v>1043</v>
      </c>
      <c r="J30">
        <v>723</v>
      </c>
      <c r="K30">
        <v>1343</v>
      </c>
      <c r="L30">
        <v>329</v>
      </c>
    </row>
    <row r="31" spans="2:12" x14ac:dyDescent="0.25">
      <c r="B31">
        <v>477</v>
      </c>
      <c r="C31">
        <v>643</v>
      </c>
      <c r="D31">
        <v>305</v>
      </c>
      <c r="E31">
        <v>534</v>
      </c>
      <c r="F31">
        <v>157</v>
      </c>
      <c r="H31">
        <v>1250</v>
      </c>
      <c r="I31">
        <v>1067</v>
      </c>
      <c r="J31">
        <v>754</v>
      </c>
      <c r="K31">
        <v>1362</v>
      </c>
      <c r="L31">
        <v>302</v>
      </c>
    </row>
    <row r="32" spans="2:12" x14ac:dyDescent="0.25">
      <c r="B32">
        <v>475</v>
      </c>
      <c r="C32">
        <v>635</v>
      </c>
      <c r="D32">
        <v>325</v>
      </c>
      <c r="E32">
        <v>543</v>
      </c>
      <c r="F32">
        <v>157</v>
      </c>
      <c r="H32">
        <v>1238</v>
      </c>
      <c r="I32">
        <v>1019</v>
      </c>
      <c r="J32">
        <v>750</v>
      </c>
      <c r="K32">
        <v>1347</v>
      </c>
      <c r="L32">
        <v>294</v>
      </c>
    </row>
    <row r="33" spans="2:12" x14ac:dyDescent="0.25">
      <c r="B33">
        <v>506</v>
      </c>
      <c r="C33">
        <v>625</v>
      </c>
      <c r="D33">
        <v>314</v>
      </c>
      <c r="E33">
        <v>529</v>
      </c>
      <c r="F33">
        <v>162</v>
      </c>
      <c r="H33">
        <v>1267</v>
      </c>
      <c r="I33">
        <v>990</v>
      </c>
      <c r="J33">
        <v>699</v>
      </c>
      <c r="K33">
        <v>1347</v>
      </c>
      <c r="L33">
        <v>320</v>
      </c>
    </row>
    <row r="34" spans="2:12" x14ac:dyDescent="0.25">
      <c r="B34">
        <v>477</v>
      </c>
      <c r="C34">
        <v>617</v>
      </c>
      <c r="D34">
        <v>303</v>
      </c>
      <c r="E34">
        <v>570</v>
      </c>
      <c r="F34">
        <v>173</v>
      </c>
      <c r="H34">
        <v>1257</v>
      </c>
      <c r="I34">
        <v>1071</v>
      </c>
      <c r="J34">
        <v>704</v>
      </c>
      <c r="K34">
        <v>1342</v>
      </c>
      <c r="L34">
        <v>327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4"/>
  <sheetViews>
    <sheetView workbookViewId="0">
      <selection activeCell="B19" sqref="B19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0.85546875" customWidth="1"/>
    <col min="10" max="10" width="14.7109375" customWidth="1"/>
    <col min="11" max="11" width="18" customWidth="1"/>
    <col min="12" max="12" width="21.28515625" customWidth="1"/>
  </cols>
  <sheetData>
    <row r="4" spans="6:11" x14ac:dyDescent="0.25">
      <c r="F4" t="s">
        <v>9</v>
      </c>
      <c r="G4" t="s">
        <v>5</v>
      </c>
      <c r="H4" t="s">
        <v>0</v>
      </c>
      <c r="I4" t="s">
        <v>6</v>
      </c>
      <c r="J4" t="s">
        <v>1</v>
      </c>
      <c r="K4" t="s">
        <v>2</v>
      </c>
    </row>
    <row r="5" spans="6:11" x14ac:dyDescent="0.25">
      <c r="F5" t="s">
        <v>3</v>
      </c>
      <c r="G5" s="2">
        <f>AVERAGE(SmallValuesSerialization[Newtonsoft.Json])</f>
        <v>317.60000000000002</v>
      </c>
      <c r="H5" s="2">
        <f>AVERAGE(SmallValuesSerialization[Jil])</f>
        <v>215.6</v>
      </c>
      <c r="I5" s="2">
        <f>AVERAGE(SmallValuesSerialization[Manual])</f>
        <v>161.30000000000001</v>
      </c>
      <c r="J5" s="2">
        <f>AVERAGE(SmallValuesSerialization[Revenj.Json])</f>
        <v>365</v>
      </c>
      <c r="K5" s="2">
        <f>AVERAGE(SmallValuesSerialization[Revenj.Protobuf])</f>
        <v>59.5</v>
      </c>
    </row>
    <row r="6" spans="6:11" x14ac:dyDescent="0.25">
      <c r="F6" t="s">
        <v>7</v>
      </c>
      <c r="G6" s="2">
        <f>G7-G5</f>
        <v>727.4</v>
      </c>
      <c r="H6" s="2">
        <f t="shared" ref="H6:K6" si="0">H7-H5</f>
        <v>264.60000000000002</v>
      </c>
      <c r="I6" s="2">
        <f t="shared" si="0"/>
        <v>174.2</v>
      </c>
      <c r="J6" s="2">
        <f t="shared" si="0"/>
        <v>762.5</v>
      </c>
      <c r="K6" s="2">
        <f t="shared" si="0"/>
        <v>83.300000000000011</v>
      </c>
    </row>
    <row r="7" spans="6:11" x14ac:dyDescent="0.25">
      <c r="F7" t="s">
        <v>4</v>
      </c>
      <c r="G7" s="2">
        <f>AVERAGE(SmallValuesBoth[Newtonsoft.Json])</f>
        <v>1045</v>
      </c>
      <c r="H7" s="2">
        <f>AVERAGE(SmallValuesBoth[Jil])</f>
        <v>480.2</v>
      </c>
      <c r="I7" s="2">
        <f>AVERAGE(SmallValuesBoth[Manual])</f>
        <v>335.5</v>
      </c>
      <c r="J7" s="2">
        <f>AVERAGE(SmallValuesBoth[Revenj.Json])</f>
        <v>1127.5</v>
      </c>
      <c r="K7" s="2">
        <f>AVERAGE(SmallValuesBoth[Revenj.Protobuf])</f>
        <v>142.80000000000001</v>
      </c>
    </row>
    <row r="12" spans="6:11" x14ac:dyDescent="0.25">
      <c r="F12" t="s">
        <v>10</v>
      </c>
      <c r="G12" t="s">
        <v>5</v>
      </c>
      <c r="H12" t="s">
        <v>0</v>
      </c>
      <c r="I12" t="s">
        <v>6</v>
      </c>
      <c r="J12" t="s">
        <v>1</v>
      </c>
      <c r="K12" t="s">
        <v>2</v>
      </c>
    </row>
    <row r="13" spans="6:11" x14ac:dyDescent="0.25">
      <c r="F13" t="s">
        <v>3</v>
      </c>
      <c r="G13" s="2">
        <f>DEVSQ(SmallValuesSerialization[Newtonsoft.Json])</f>
        <v>1554.4</v>
      </c>
      <c r="H13" s="2">
        <f>DEVSQ(SmallValuesSerialization[Jil])</f>
        <v>540.40000000000009</v>
      </c>
      <c r="I13" s="2">
        <f>DEVSQ(SmallValuesSerialization[Manual])</f>
        <v>994.10000000000025</v>
      </c>
      <c r="J13" s="2">
        <f>DEVSQ(SmallValuesSerialization[Revenj.Json])</f>
        <v>1612</v>
      </c>
      <c r="K13" s="2">
        <f>DEVSQ(SmallValuesSerialization[Revenj.Protobuf])</f>
        <v>14.5</v>
      </c>
    </row>
    <row r="14" spans="6:11" x14ac:dyDescent="0.25">
      <c r="F14" t="s">
        <v>4</v>
      </c>
      <c r="G14" s="2">
        <f>DEVSQ(SmallValuesBoth[Newtonsoft.Json])</f>
        <v>5054</v>
      </c>
      <c r="H14" s="2">
        <f>DEVSQ(SmallValuesBoth[Jil])</f>
        <v>3487.6000000000004</v>
      </c>
      <c r="I14" s="2">
        <f>DEVSQ(SmallValuesBoth[Manual])</f>
        <v>1154.5</v>
      </c>
      <c r="J14" s="2">
        <f>DEVSQ(SmallValuesBoth[Revenj.Json])</f>
        <v>11166.5</v>
      </c>
      <c r="K14" s="2">
        <f>DEVSQ(SmallValuesBoth[Revenj.Protobuf])</f>
        <v>111.59999999999998</v>
      </c>
    </row>
    <row r="15" spans="6:11" x14ac:dyDescent="0.25">
      <c r="G15" s="2"/>
      <c r="H15" s="2"/>
      <c r="I15" s="2"/>
      <c r="J15" s="2"/>
      <c r="K15" s="2"/>
    </row>
    <row r="19" spans="2:12" x14ac:dyDescent="0.25">
      <c r="B19" t="s">
        <v>14</v>
      </c>
    </row>
    <row r="23" spans="2:12" x14ac:dyDescent="0.25">
      <c r="B23" s="1" t="s">
        <v>8</v>
      </c>
      <c r="H23" s="1" t="s">
        <v>11</v>
      </c>
    </row>
    <row r="24" spans="2:12" x14ac:dyDescent="0.25">
      <c r="B24" t="s">
        <v>5</v>
      </c>
      <c r="C24" t="s">
        <v>0</v>
      </c>
      <c r="D24" t="s">
        <v>6</v>
      </c>
      <c r="E24" t="s">
        <v>1</v>
      </c>
      <c r="F24" t="s">
        <v>2</v>
      </c>
      <c r="H24" t="s">
        <v>5</v>
      </c>
      <c r="I24" t="s">
        <v>0</v>
      </c>
      <c r="J24" t="s">
        <v>6</v>
      </c>
      <c r="K24" t="s">
        <v>1</v>
      </c>
      <c r="L24" t="s">
        <v>2</v>
      </c>
    </row>
    <row r="25" spans="2:12" x14ac:dyDescent="0.25">
      <c r="B25">
        <v>314</v>
      </c>
      <c r="C25">
        <v>211</v>
      </c>
      <c r="D25">
        <v>160</v>
      </c>
      <c r="E25">
        <v>372</v>
      </c>
      <c r="F25">
        <v>61</v>
      </c>
      <c r="H25">
        <v>1056</v>
      </c>
      <c r="I25">
        <v>450</v>
      </c>
      <c r="J25">
        <v>347</v>
      </c>
      <c r="K25">
        <v>1109</v>
      </c>
      <c r="L25">
        <v>147</v>
      </c>
    </row>
    <row r="26" spans="2:12" x14ac:dyDescent="0.25">
      <c r="B26">
        <v>338</v>
      </c>
      <c r="C26">
        <v>211</v>
      </c>
      <c r="D26">
        <v>166</v>
      </c>
      <c r="E26">
        <v>353</v>
      </c>
      <c r="F26">
        <v>60</v>
      </c>
      <c r="H26">
        <v>1034</v>
      </c>
      <c r="I26">
        <v>489</v>
      </c>
      <c r="J26">
        <v>345</v>
      </c>
      <c r="K26">
        <v>1100</v>
      </c>
      <c r="L26">
        <v>143</v>
      </c>
    </row>
    <row r="27" spans="2:12" x14ac:dyDescent="0.25">
      <c r="B27">
        <v>314</v>
      </c>
      <c r="C27">
        <v>202</v>
      </c>
      <c r="D27">
        <v>188</v>
      </c>
      <c r="E27">
        <v>354</v>
      </c>
      <c r="F27">
        <v>60</v>
      </c>
      <c r="H27">
        <v>1080</v>
      </c>
      <c r="I27">
        <v>491</v>
      </c>
      <c r="J27">
        <v>338</v>
      </c>
      <c r="K27">
        <v>1200</v>
      </c>
      <c r="L27">
        <v>147</v>
      </c>
    </row>
    <row r="28" spans="2:12" x14ac:dyDescent="0.25">
      <c r="B28">
        <v>324</v>
      </c>
      <c r="C28">
        <v>212</v>
      </c>
      <c r="D28">
        <v>156</v>
      </c>
      <c r="E28">
        <v>355</v>
      </c>
      <c r="F28">
        <v>59</v>
      </c>
      <c r="H28">
        <v>1061</v>
      </c>
      <c r="I28">
        <v>490</v>
      </c>
      <c r="J28">
        <v>333</v>
      </c>
      <c r="K28">
        <v>1157</v>
      </c>
      <c r="L28">
        <v>139</v>
      </c>
    </row>
    <row r="29" spans="2:12" x14ac:dyDescent="0.25">
      <c r="B29">
        <v>320</v>
      </c>
      <c r="C29">
        <v>217</v>
      </c>
      <c r="D29">
        <v>165</v>
      </c>
      <c r="E29">
        <v>369</v>
      </c>
      <c r="F29">
        <v>57</v>
      </c>
      <c r="H29">
        <v>1051</v>
      </c>
      <c r="I29">
        <v>466</v>
      </c>
      <c r="J29">
        <v>353</v>
      </c>
      <c r="K29">
        <v>1102</v>
      </c>
      <c r="L29">
        <v>140</v>
      </c>
    </row>
    <row r="30" spans="2:12" x14ac:dyDescent="0.25">
      <c r="B30">
        <v>301</v>
      </c>
      <c r="C30">
        <v>223</v>
      </c>
      <c r="D30">
        <v>162</v>
      </c>
      <c r="E30">
        <v>365</v>
      </c>
      <c r="F30">
        <v>58</v>
      </c>
      <c r="H30">
        <v>999</v>
      </c>
      <c r="I30">
        <v>479</v>
      </c>
      <c r="J30">
        <v>341</v>
      </c>
      <c r="K30">
        <v>1090</v>
      </c>
      <c r="L30">
        <v>139</v>
      </c>
    </row>
    <row r="31" spans="2:12" x14ac:dyDescent="0.25">
      <c r="B31">
        <v>305</v>
      </c>
      <c r="C31">
        <v>218</v>
      </c>
      <c r="D31">
        <v>155</v>
      </c>
      <c r="E31">
        <v>383</v>
      </c>
      <c r="F31">
        <v>60</v>
      </c>
      <c r="H31">
        <v>1048</v>
      </c>
      <c r="I31">
        <v>521</v>
      </c>
      <c r="J31">
        <v>325</v>
      </c>
      <c r="K31">
        <v>1139</v>
      </c>
      <c r="L31">
        <v>141</v>
      </c>
    </row>
    <row r="32" spans="2:12" x14ac:dyDescent="0.25">
      <c r="B32">
        <v>337</v>
      </c>
      <c r="C32">
        <v>215</v>
      </c>
      <c r="D32">
        <v>154</v>
      </c>
      <c r="E32">
        <v>390</v>
      </c>
      <c r="F32">
        <v>61</v>
      </c>
      <c r="H32">
        <v>1064</v>
      </c>
      <c r="I32">
        <v>484</v>
      </c>
      <c r="J32">
        <v>317</v>
      </c>
      <c r="K32">
        <v>1093</v>
      </c>
      <c r="L32">
        <v>144</v>
      </c>
    </row>
    <row r="33" spans="2:12" x14ac:dyDescent="0.25">
      <c r="B33">
        <v>321</v>
      </c>
      <c r="C33">
        <v>216</v>
      </c>
      <c r="D33">
        <v>153</v>
      </c>
      <c r="E33">
        <v>352</v>
      </c>
      <c r="F33">
        <v>60</v>
      </c>
      <c r="H33">
        <v>1017</v>
      </c>
      <c r="I33">
        <v>466</v>
      </c>
      <c r="J33">
        <v>331</v>
      </c>
      <c r="K33">
        <v>1150</v>
      </c>
      <c r="L33">
        <v>140</v>
      </c>
    </row>
    <row r="34" spans="2:12" x14ac:dyDescent="0.25">
      <c r="B34">
        <v>302</v>
      </c>
      <c r="C34">
        <v>231</v>
      </c>
      <c r="D34">
        <v>154</v>
      </c>
      <c r="E34">
        <v>357</v>
      </c>
      <c r="F34">
        <v>59</v>
      </c>
      <c r="H34">
        <v>1040</v>
      </c>
      <c r="I34">
        <v>466</v>
      </c>
      <c r="J34">
        <v>325</v>
      </c>
      <c r="K34">
        <v>1135</v>
      </c>
      <c r="L34">
        <v>148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4"/>
  <sheetViews>
    <sheetView workbookViewId="0">
      <selection activeCell="H25" sqref="H25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0.85546875" customWidth="1"/>
    <col min="10" max="10" width="14.7109375" customWidth="1"/>
    <col min="11" max="11" width="18" customWidth="1"/>
    <col min="12" max="12" width="21.28515625" customWidth="1"/>
  </cols>
  <sheetData>
    <row r="4" spans="6:11" x14ac:dyDescent="0.25">
      <c r="F4" t="s">
        <v>9</v>
      </c>
      <c r="G4" t="s">
        <v>5</v>
      </c>
      <c r="H4" t="s">
        <v>0</v>
      </c>
      <c r="I4" t="s">
        <v>6</v>
      </c>
      <c r="J4" t="s">
        <v>1</v>
      </c>
      <c r="K4" t="s">
        <v>2</v>
      </c>
    </row>
    <row r="5" spans="6:11" x14ac:dyDescent="0.25">
      <c r="F5" t="s">
        <v>3</v>
      </c>
      <c r="G5" s="2">
        <f>AVERAGE(SmallAggregatesSerialization[Newtonsoft.Json])</f>
        <v>896.5</v>
      </c>
      <c r="H5" s="2">
        <f>AVERAGE(SmallAggregatesSerialization[Jil])</f>
        <v>642.6</v>
      </c>
      <c r="I5" s="2">
        <f>AVERAGE(SmallAggregatesSerialization[Manual])</f>
        <v>459.3</v>
      </c>
      <c r="J5" s="2">
        <f>AVERAGE(SmallAggregatesSerialization[Revenj.Json])</f>
        <v>986.3</v>
      </c>
      <c r="K5" s="2">
        <f>AVERAGE(SmallAggregatesSerialization[Revenj.Protobuf])</f>
        <v>327.60000000000002</v>
      </c>
    </row>
    <row r="6" spans="6:11" x14ac:dyDescent="0.25">
      <c r="F6" t="s">
        <v>7</v>
      </c>
      <c r="G6" s="2">
        <f>G7-G5</f>
        <v>1100.3</v>
      </c>
      <c r="H6" s="2">
        <f t="shared" ref="H6:K6" si="0">H7-H5</f>
        <v>467.30000000000007</v>
      </c>
      <c r="I6" s="2">
        <f t="shared" si="0"/>
        <v>236.8</v>
      </c>
      <c r="J6" s="2">
        <f t="shared" si="0"/>
        <v>1304.3999999999999</v>
      </c>
      <c r="K6" s="2">
        <f t="shared" si="0"/>
        <v>277.79999999999995</v>
      </c>
    </row>
    <row r="7" spans="6:11" x14ac:dyDescent="0.25">
      <c r="F7" t="s">
        <v>4</v>
      </c>
      <c r="G7" s="2">
        <f>AVERAGE(SmallAggregatesBoth[Newtonsoft.Json])</f>
        <v>1996.8</v>
      </c>
      <c r="H7" s="2">
        <f>AVERAGE(SmallAggregatesBoth[Jil])</f>
        <v>1109.9000000000001</v>
      </c>
      <c r="I7" s="2">
        <f>AVERAGE(SmallAggregatesBoth[Manual])</f>
        <v>696.1</v>
      </c>
      <c r="J7" s="2">
        <f>AVERAGE(SmallAggregatesBoth[Revenj.Json])</f>
        <v>2290.6999999999998</v>
      </c>
      <c r="K7" s="2">
        <f>AVERAGE(SmallAggregatesBoth[Revenj.Protobuf])</f>
        <v>605.4</v>
      </c>
    </row>
    <row r="12" spans="6:11" x14ac:dyDescent="0.25">
      <c r="F12" t="s">
        <v>10</v>
      </c>
      <c r="G12" t="s">
        <v>5</v>
      </c>
      <c r="H12" t="s">
        <v>0</v>
      </c>
      <c r="I12" t="s">
        <v>6</v>
      </c>
      <c r="J12" t="s">
        <v>1</v>
      </c>
      <c r="K12" t="s">
        <v>2</v>
      </c>
    </row>
    <row r="13" spans="6:11" x14ac:dyDescent="0.25">
      <c r="F13" t="s">
        <v>3</v>
      </c>
      <c r="G13" s="2">
        <f>DEVSQ(SmallAggregatesSerialization[Newtonsoft.Json])</f>
        <v>2166.5</v>
      </c>
      <c r="H13" s="2">
        <f>DEVSQ(SmallAggregatesSerialization[Jil])</f>
        <v>2336.3999999999996</v>
      </c>
      <c r="I13" s="2">
        <f>DEVSQ(SmallAggregatesSerialization[Manual])</f>
        <v>1186.1000000000001</v>
      </c>
      <c r="J13" s="2">
        <f>DEVSQ(SmallAggregatesSerialization[Revenj.Json])</f>
        <v>4862.1000000000004</v>
      </c>
      <c r="K13" s="2">
        <f>DEVSQ(SmallAggregatesSerialization[Revenj.Protobuf])</f>
        <v>550.4</v>
      </c>
    </row>
    <row r="14" spans="6:11" x14ac:dyDescent="0.25">
      <c r="F14" t="s">
        <v>4</v>
      </c>
      <c r="G14" s="2">
        <f>DEVSQ(SmallAggregatesBoth[Newtonsoft.Json])</f>
        <v>2793.6</v>
      </c>
      <c r="H14" s="2">
        <f>DEVSQ(SmallAggregatesBoth[Jil])</f>
        <v>6268.9</v>
      </c>
      <c r="I14" s="2">
        <f>DEVSQ(SmallAggregatesBoth[Manual])</f>
        <v>1198.8999999999999</v>
      </c>
      <c r="J14" s="2">
        <f>DEVSQ(SmallAggregatesBoth[Revenj.Json])</f>
        <v>7024.1</v>
      </c>
      <c r="K14" s="2">
        <f>DEVSQ(SmallAggregatesBoth[Revenj.Protobuf])</f>
        <v>1544.4</v>
      </c>
    </row>
    <row r="15" spans="6:11" x14ac:dyDescent="0.25">
      <c r="G15" s="2"/>
      <c r="H15" s="2"/>
      <c r="I15" s="2"/>
      <c r="J15" s="2"/>
      <c r="K15" s="2"/>
    </row>
    <row r="19" spans="2:12" x14ac:dyDescent="0.25">
      <c r="B19" t="s">
        <v>15</v>
      </c>
    </row>
    <row r="23" spans="2:12" x14ac:dyDescent="0.25">
      <c r="B23" s="1" t="s">
        <v>8</v>
      </c>
      <c r="H23" s="1" t="s">
        <v>11</v>
      </c>
    </row>
    <row r="24" spans="2:12" x14ac:dyDescent="0.25">
      <c r="B24" t="s">
        <v>5</v>
      </c>
      <c r="C24" t="s">
        <v>0</v>
      </c>
      <c r="D24" t="s">
        <v>6</v>
      </c>
      <c r="E24" t="s">
        <v>1</v>
      </c>
      <c r="F24" t="s">
        <v>2</v>
      </c>
      <c r="H24" t="s">
        <v>5</v>
      </c>
      <c r="I24" t="s">
        <v>0</v>
      </c>
      <c r="J24" t="s">
        <v>6</v>
      </c>
      <c r="K24" t="s">
        <v>1</v>
      </c>
      <c r="L24" t="s">
        <v>2</v>
      </c>
    </row>
    <row r="25" spans="2:12" x14ac:dyDescent="0.25">
      <c r="B25">
        <v>891</v>
      </c>
      <c r="C25">
        <v>650</v>
      </c>
      <c r="D25">
        <v>450</v>
      </c>
      <c r="E25">
        <v>998</v>
      </c>
      <c r="F25">
        <v>320</v>
      </c>
      <c r="H25">
        <v>2016</v>
      </c>
      <c r="I25">
        <v>1130</v>
      </c>
      <c r="J25">
        <v>689</v>
      </c>
      <c r="K25">
        <v>2274</v>
      </c>
      <c r="L25">
        <v>607</v>
      </c>
    </row>
    <row r="26" spans="2:12" x14ac:dyDescent="0.25">
      <c r="B26">
        <v>902</v>
      </c>
      <c r="C26">
        <v>665</v>
      </c>
      <c r="D26">
        <v>454</v>
      </c>
      <c r="E26">
        <v>1006</v>
      </c>
      <c r="F26">
        <v>332</v>
      </c>
      <c r="H26">
        <v>1999</v>
      </c>
      <c r="I26">
        <v>1064</v>
      </c>
      <c r="J26">
        <v>681</v>
      </c>
      <c r="K26">
        <v>2351</v>
      </c>
      <c r="L26">
        <v>592</v>
      </c>
    </row>
    <row r="27" spans="2:12" x14ac:dyDescent="0.25">
      <c r="B27">
        <v>873</v>
      </c>
      <c r="C27">
        <v>624</v>
      </c>
      <c r="D27">
        <v>456</v>
      </c>
      <c r="E27">
        <v>969</v>
      </c>
      <c r="F27">
        <v>317</v>
      </c>
      <c r="H27">
        <v>2012</v>
      </c>
      <c r="I27">
        <v>1111</v>
      </c>
      <c r="J27">
        <v>699</v>
      </c>
      <c r="K27">
        <v>2295</v>
      </c>
      <c r="L27">
        <v>595</v>
      </c>
    </row>
    <row r="28" spans="2:12" x14ac:dyDescent="0.25">
      <c r="B28">
        <v>881</v>
      </c>
      <c r="C28">
        <v>642</v>
      </c>
      <c r="D28">
        <v>470</v>
      </c>
      <c r="E28">
        <v>974</v>
      </c>
      <c r="F28">
        <v>335</v>
      </c>
      <c r="H28">
        <v>1985</v>
      </c>
      <c r="I28">
        <v>1127</v>
      </c>
      <c r="J28">
        <v>715</v>
      </c>
      <c r="K28">
        <v>2256</v>
      </c>
      <c r="L28">
        <v>620</v>
      </c>
    </row>
    <row r="29" spans="2:12" x14ac:dyDescent="0.25">
      <c r="B29">
        <v>905</v>
      </c>
      <c r="C29">
        <v>670</v>
      </c>
      <c r="D29">
        <v>447</v>
      </c>
      <c r="E29">
        <v>979</v>
      </c>
      <c r="F29">
        <v>320</v>
      </c>
      <c r="H29">
        <v>2007</v>
      </c>
      <c r="I29">
        <v>1105</v>
      </c>
      <c r="J29">
        <v>687</v>
      </c>
      <c r="K29">
        <v>2289</v>
      </c>
      <c r="L29">
        <v>601</v>
      </c>
    </row>
    <row r="30" spans="2:12" x14ac:dyDescent="0.25">
      <c r="B30">
        <v>918</v>
      </c>
      <c r="C30">
        <v>623</v>
      </c>
      <c r="D30">
        <v>449</v>
      </c>
      <c r="E30">
        <v>994</v>
      </c>
      <c r="F30">
        <v>332</v>
      </c>
      <c r="H30">
        <v>2004</v>
      </c>
      <c r="I30">
        <v>1095</v>
      </c>
      <c r="J30">
        <v>712</v>
      </c>
      <c r="K30">
        <v>2285</v>
      </c>
      <c r="L30">
        <v>607</v>
      </c>
    </row>
    <row r="31" spans="2:12" x14ac:dyDescent="0.25">
      <c r="B31">
        <v>904</v>
      </c>
      <c r="C31">
        <v>636</v>
      </c>
      <c r="D31">
        <v>450</v>
      </c>
      <c r="E31">
        <v>960</v>
      </c>
      <c r="F31">
        <v>337</v>
      </c>
      <c r="H31">
        <v>1978</v>
      </c>
      <c r="I31">
        <v>1163</v>
      </c>
      <c r="J31">
        <v>690</v>
      </c>
      <c r="K31">
        <v>2322</v>
      </c>
      <c r="L31">
        <v>612</v>
      </c>
    </row>
    <row r="32" spans="2:12" x14ac:dyDescent="0.25">
      <c r="B32">
        <v>881</v>
      </c>
      <c r="C32">
        <v>627</v>
      </c>
      <c r="D32">
        <v>467</v>
      </c>
      <c r="E32">
        <v>1032</v>
      </c>
      <c r="F32">
        <v>333</v>
      </c>
      <c r="H32">
        <v>2019</v>
      </c>
      <c r="I32">
        <v>1098</v>
      </c>
      <c r="J32">
        <v>687</v>
      </c>
      <c r="K32">
        <v>2289</v>
      </c>
      <c r="L32">
        <v>632</v>
      </c>
    </row>
    <row r="33" spans="2:12" x14ac:dyDescent="0.25">
      <c r="B33">
        <v>918</v>
      </c>
      <c r="C33">
        <v>643</v>
      </c>
      <c r="D33">
        <v>480</v>
      </c>
      <c r="E33">
        <v>995</v>
      </c>
      <c r="F33">
        <v>318</v>
      </c>
      <c r="H33">
        <v>1972</v>
      </c>
      <c r="I33">
        <v>1112</v>
      </c>
      <c r="J33">
        <v>695</v>
      </c>
      <c r="K33">
        <v>2284</v>
      </c>
      <c r="L33">
        <v>592</v>
      </c>
    </row>
    <row r="34" spans="2:12" x14ac:dyDescent="0.25">
      <c r="B34">
        <v>892</v>
      </c>
      <c r="C34">
        <v>646</v>
      </c>
      <c r="D34">
        <v>470</v>
      </c>
      <c r="E34">
        <v>956</v>
      </c>
      <c r="F34">
        <v>332</v>
      </c>
      <c r="H34">
        <v>1976</v>
      </c>
      <c r="I34">
        <v>1094</v>
      </c>
      <c r="J34">
        <v>706</v>
      </c>
      <c r="K34">
        <v>2262</v>
      </c>
      <c r="L34">
        <v>596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4"/>
  <sheetViews>
    <sheetView workbookViewId="0">
      <selection activeCell="B19" sqref="B19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0.85546875" customWidth="1"/>
    <col min="10" max="10" width="14.7109375" customWidth="1"/>
    <col min="11" max="11" width="18" customWidth="1"/>
    <col min="12" max="12" width="21.28515625" customWidth="1"/>
  </cols>
  <sheetData>
    <row r="4" spans="6:11" x14ac:dyDescent="0.25">
      <c r="F4" t="s">
        <v>9</v>
      </c>
      <c r="G4" t="s">
        <v>5</v>
      </c>
      <c r="H4" t="s">
        <v>0</v>
      </c>
      <c r="I4" t="s">
        <v>6</v>
      </c>
      <c r="J4" t="s">
        <v>1</v>
      </c>
      <c r="K4" t="s">
        <v>2</v>
      </c>
    </row>
    <row r="5" spans="6:11" x14ac:dyDescent="0.25">
      <c r="F5" t="s">
        <v>3</v>
      </c>
      <c r="G5" s="2">
        <f>AVERAGE(StandardEventsSerialization[Newtonsoft.Json])</f>
        <v>5029.7</v>
      </c>
      <c r="H5" s="2">
        <f>AVERAGE(StandardEventsSerialization[Jil])</f>
        <v>-1</v>
      </c>
      <c r="I5" s="2">
        <f>AVERAGE(StandardEventsSerialization[Manual])</f>
        <v>2957.3</v>
      </c>
      <c r="J5" s="2">
        <f>AVERAGE(StandardEventsSerialization[Revenj.Json])</f>
        <v>5494.1</v>
      </c>
      <c r="K5" s="2">
        <f>AVERAGE(StandardEventsSerialization[Revenj.Protobuf])</f>
        <v>1271.7</v>
      </c>
    </row>
    <row r="6" spans="6:11" x14ac:dyDescent="0.25">
      <c r="F6" t="s">
        <v>7</v>
      </c>
      <c r="G6" s="2">
        <f>G7-G5</f>
        <v>6009.5999999999995</v>
      </c>
      <c r="H6" s="2">
        <f t="shared" ref="H6:K6" si="0">H7-H5</f>
        <v>0</v>
      </c>
      <c r="I6" s="2">
        <f t="shared" si="0"/>
        <v>2273.0999999999995</v>
      </c>
      <c r="J6" s="2">
        <f t="shared" si="0"/>
        <v>5821.7999999999993</v>
      </c>
      <c r="K6" s="2">
        <f t="shared" si="0"/>
        <v>1266.4999999999998</v>
      </c>
    </row>
    <row r="7" spans="6:11" x14ac:dyDescent="0.25">
      <c r="F7" t="s">
        <v>4</v>
      </c>
      <c r="G7" s="2">
        <f>AVERAGE(StandardEventsBoth[Newtonsoft.Json])</f>
        <v>11039.3</v>
      </c>
      <c r="H7" s="2">
        <f>AVERAGE(StandardEventsBoth[Jil])</f>
        <v>-1</v>
      </c>
      <c r="I7" s="2">
        <f>AVERAGE(StandardEventsBoth[Manual])</f>
        <v>5230.3999999999996</v>
      </c>
      <c r="J7" s="2">
        <f>AVERAGE(StandardEventsBoth[Revenj.Json])</f>
        <v>11315.9</v>
      </c>
      <c r="K7" s="2">
        <f>AVERAGE(StandardEventsBoth[Revenj.Protobuf])</f>
        <v>2538.1999999999998</v>
      </c>
    </row>
    <row r="12" spans="6:11" x14ac:dyDescent="0.25">
      <c r="F12" t="s">
        <v>10</v>
      </c>
      <c r="G12" t="s">
        <v>5</v>
      </c>
      <c r="H12" t="s">
        <v>0</v>
      </c>
      <c r="I12" t="s">
        <v>6</v>
      </c>
      <c r="J12" t="s">
        <v>1</v>
      </c>
      <c r="K12" t="s">
        <v>2</v>
      </c>
    </row>
    <row r="13" spans="6:11" x14ac:dyDescent="0.25">
      <c r="F13" t="s">
        <v>3</v>
      </c>
      <c r="G13" s="2">
        <f>DEVSQ(StandardEventsSerialization[Newtonsoft.Json])</f>
        <v>183774.1</v>
      </c>
      <c r="H13" s="2">
        <f>DEVSQ(StandardEventsSerialization[Jil])</f>
        <v>0</v>
      </c>
      <c r="I13" s="2">
        <f>DEVSQ(StandardEventsSerialization[Manual])</f>
        <v>44208.1</v>
      </c>
      <c r="J13" s="2">
        <f>DEVSQ(StandardEventsSerialization[Revenj.Json])</f>
        <v>218618.90000000002</v>
      </c>
      <c r="K13" s="2">
        <f>DEVSQ(StandardEventsSerialization[Revenj.Protobuf])</f>
        <v>33832.1</v>
      </c>
    </row>
    <row r="14" spans="6:11" x14ac:dyDescent="0.25">
      <c r="F14" t="s">
        <v>4</v>
      </c>
      <c r="G14" s="2">
        <f>DEVSQ(StandardEventsBoth[Newtonsoft.Json])</f>
        <v>756538.10000000009</v>
      </c>
      <c r="H14" s="2">
        <f>DEVSQ(StandardEventsBoth[Jil])</f>
        <v>0</v>
      </c>
      <c r="I14" s="2">
        <f>DEVSQ(StandardEventsBoth[Manual])</f>
        <v>27716.400000000001</v>
      </c>
      <c r="J14" s="2">
        <f>DEVSQ(StandardEventsBoth[Revenj.Json])</f>
        <v>193442.90000000002</v>
      </c>
      <c r="K14" s="2">
        <f>DEVSQ(StandardEventsBoth[Revenj.Protobuf])</f>
        <v>21343.599999999999</v>
      </c>
    </row>
    <row r="15" spans="6:11" x14ac:dyDescent="0.25">
      <c r="G15" s="2"/>
      <c r="H15" s="2"/>
      <c r="I15" s="2"/>
      <c r="J15" s="2"/>
      <c r="K15" s="2"/>
    </row>
    <row r="19" spans="2:12" x14ac:dyDescent="0.25">
      <c r="B19" t="s">
        <v>16</v>
      </c>
    </row>
    <row r="23" spans="2:12" x14ac:dyDescent="0.25">
      <c r="B23" s="1" t="s">
        <v>8</v>
      </c>
      <c r="H23" s="1" t="s">
        <v>11</v>
      </c>
    </row>
    <row r="24" spans="2:12" x14ac:dyDescent="0.25">
      <c r="B24" t="s">
        <v>5</v>
      </c>
      <c r="C24" t="s">
        <v>0</v>
      </c>
      <c r="D24" t="s">
        <v>6</v>
      </c>
      <c r="E24" t="s">
        <v>1</v>
      </c>
      <c r="F24" t="s">
        <v>2</v>
      </c>
      <c r="H24" t="s">
        <v>5</v>
      </c>
      <c r="I24" t="s">
        <v>0</v>
      </c>
      <c r="J24" t="s">
        <v>6</v>
      </c>
      <c r="K24" t="s">
        <v>1</v>
      </c>
      <c r="L24" t="s">
        <v>2</v>
      </c>
    </row>
    <row r="25" spans="2:12" x14ac:dyDescent="0.25">
      <c r="B25">
        <v>4918</v>
      </c>
      <c r="C25">
        <v>-1</v>
      </c>
      <c r="D25">
        <v>2902</v>
      </c>
      <c r="E25">
        <v>5411</v>
      </c>
      <c r="F25">
        <v>1422</v>
      </c>
      <c r="H25">
        <v>10811</v>
      </c>
      <c r="I25">
        <v>-1</v>
      </c>
      <c r="J25">
        <v>5223</v>
      </c>
      <c r="K25">
        <v>11198</v>
      </c>
      <c r="L25">
        <v>2509</v>
      </c>
    </row>
    <row r="26" spans="2:12" x14ac:dyDescent="0.25">
      <c r="B26">
        <v>5021</v>
      </c>
      <c r="C26">
        <v>-1</v>
      </c>
      <c r="D26">
        <v>2895</v>
      </c>
      <c r="E26">
        <v>5411</v>
      </c>
      <c r="F26">
        <v>1236</v>
      </c>
      <c r="H26">
        <v>10833</v>
      </c>
      <c r="I26">
        <v>-1</v>
      </c>
      <c r="J26">
        <v>5189</v>
      </c>
      <c r="K26">
        <v>11397</v>
      </c>
      <c r="L26">
        <v>2491</v>
      </c>
    </row>
    <row r="27" spans="2:12" x14ac:dyDescent="0.25">
      <c r="B27">
        <v>4926</v>
      </c>
      <c r="C27">
        <v>-1</v>
      </c>
      <c r="D27">
        <v>2907</v>
      </c>
      <c r="E27">
        <v>5430</v>
      </c>
      <c r="F27">
        <v>1336</v>
      </c>
      <c r="H27">
        <v>10983</v>
      </c>
      <c r="I27">
        <v>-1</v>
      </c>
      <c r="J27">
        <v>5216</v>
      </c>
      <c r="K27">
        <v>11168</v>
      </c>
      <c r="L27">
        <v>2491</v>
      </c>
    </row>
    <row r="28" spans="2:12" x14ac:dyDescent="0.25">
      <c r="B28">
        <v>4902</v>
      </c>
      <c r="C28">
        <v>-1</v>
      </c>
      <c r="D28">
        <v>2916</v>
      </c>
      <c r="E28">
        <v>5487</v>
      </c>
      <c r="F28">
        <v>1272</v>
      </c>
      <c r="H28">
        <v>10821</v>
      </c>
      <c r="I28">
        <v>-1</v>
      </c>
      <c r="J28">
        <v>5203</v>
      </c>
      <c r="K28">
        <v>11198</v>
      </c>
      <c r="L28">
        <v>2546</v>
      </c>
    </row>
    <row r="29" spans="2:12" x14ac:dyDescent="0.25">
      <c r="B29">
        <v>5108</v>
      </c>
      <c r="C29">
        <v>-1</v>
      </c>
      <c r="D29">
        <v>3064</v>
      </c>
      <c r="E29">
        <v>5472</v>
      </c>
      <c r="F29">
        <v>1240</v>
      </c>
      <c r="H29">
        <v>11736</v>
      </c>
      <c r="I29">
        <v>-1</v>
      </c>
      <c r="J29">
        <v>5184</v>
      </c>
      <c r="K29">
        <v>11082</v>
      </c>
      <c r="L29">
        <v>2522</v>
      </c>
    </row>
    <row r="30" spans="2:12" x14ac:dyDescent="0.25">
      <c r="B30">
        <v>5199</v>
      </c>
      <c r="C30">
        <v>-1</v>
      </c>
      <c r="D30">
        <v>2939</v>
      </c>
      <c r="E30">
        <v>5543</v>
      </c>
      <c r="F30">
        <v>1244</v>
      </c>
      <c r="H30">
        <v>11042</v>
      </c>
      <c r="I30">
        <v>-1</v>
      </c>
      <c r="J30">
        <v>5203</v>
      </c>
      <c r="K30">
        <v>11429</v>
      </c>
      <c r="L30">
        <v>2494</v>
      </c>
    </row>
    <row r="31" spans="2:12" x14ac:dyDescent="0.25">
      <c r="B31">
        <v>5069</v>
      </c>
      <c r="C31">
        <v>-1</v>
      </c>
      <c r="D31">
        <v>3093</v>
      </c>
      <c r="E31">
        <v>5467</v>
      </c>
      <c r="F31">
        <v>1234</v>
      </c>
      <c r="H31">
        <v>10903</v>
      </c>
      <c r="I31">
        <v>-1</v>
      </c>
      <c r="J31">
        <v>5213</v>
      </c>
      <c r="K31">
        <v>11300</v>
      </c>
      <c r="L31">
        <v>2548</v>
      </c>
    </row>
    <row r="32" spans="2:12" x14ac:dyDescent="0.25">
      <c r="B32">
        <v>5302</v>
      </c>
      <c r="C32">
        <v>-1</v>
      </c>
      <c r="D32">
        <v>2994</v>
      </c>
      <c r="E32">
        <v>5918</v>
      </c>
      <c r="F32">
        <v>1258</v>
      </c>
      <c r="H32">
        <v>10867</v>
      </c>
      <c r="I32">
        <v>-1</v>
      </c>
      <c r="J32">
        <v>5210</v>
      </c>
      <c r="K32">
        <v>11460</v>
      </c>
      <c r="L32">
        <v>2565</v>
      </c>
    </row>
    <row r="33" spans="2:12" x14ac:dyDescent="0.25">
      <c r="B33">
        <v>5004</v>
      </c>
      <c r="C33">
        <v>-1</v>
      </c>
      <c r="D33">
        <v>2921</v>
      </c>
      <c r="E33">
        <v>5399</v>
      </c>
      <c r="F33">
        <v>1245</v>
      </c>
      <c r="H33">
        <v>11083</v>
      </c>
      <c r="I33">
        <v>-1</v>
      </c>
      <c r="J33">
        <v>5310</v>
      </c>
      <c r="K33">
        <v>11413</v>
      </c>
      <c r="L33">
        <v>2568</v>
      </c>
    </row>
    <row r="34" spans="2:12" x14ac:dyDescent="0.25">
      <c r="B34">
        <v>4848</v>
      </c>
      <c r="C34">
        <v>-1</v>
      </c>
      <c r="D34">
        <v>2942</v>
      </c>
      <c r="E34">
        <v>5403</v>
      </c>
      <c r="F34">
        <v>1230</v>
      </c>
      <c r="H34">
        <v>11314</v>
      </c>
      <c r="I34">
        <v>-1</v>
      </c>
      <c r="J34">
        <v>5353</v>
      </c>
      <c r="K34">
        <v>11514</v>
      </c>
      <c r="L34">
        <v>2648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4"/>
  <sheetViews>
    <sheetView workbookViewId="0">
      <selection activeCell="B19" sqref="B19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0.85546875" customWidth="1"/>
    <col min="10" max="10" width="14.7109375" customWidth="1"/>
    <col min="11" max="11" width="18" customWidth="1"/>
    <col min="12" max="12" width="21.28515625" customWidth="1"/>
  </cols>
  <sheetData>
    <row r="4" spans="6:11" x14ac:dyDescent="0.25">
      <c r="F4" t="s">
        <v>9</v>
      </c>
      <c r="G4" t="s">
        <v>5</v>
      </c>
      <c r="H4" t="s">
        <v>0</v>
      </c>
      <c r="I4" t="s">
        <v>6</v>
      </c>
      <c r="J4" t="s">
        <v>1</v>
      </c>
      <c r="K4" t="s">
        <v>2</v>
      </c>
    </row>
    <row r="5" spans="6:11" x14ac:dyDescent="0.25">
      <c r="F5" t="s">
        <v>3</v>
      </c>
      <c r="G5" s="2">
        <f>AVERAGE(StandardAggregatesSerialization[Newtonsoft.Json])</f>
        <v>5849.2</v>
      </c>
      <c r="H5" s="2">
        <f>AVERAGE(StandardAggregatesSerialization[Jil])</f>
        <v>-1</v>
      </c>
      <c r="I5" s="2">
        <f>AVERAGE(StandardAggregatesSerialization[Manual])</f>
        <v>4809.8999999999996</v>
      </c>
      <c r="J5" s="2">
        <f>AVERAGE(StandardAggregatesSerialization[Revenj.Json])</f>
        <v>7883.9</v>
      </c>
      <c r="K5" s="2">
        <f>AVERAGE(StandardAggregatesSerialization[Revenj.Protobuf])</f>
        <v>1598.8</v>
      </c>
    </row>
    <row r="6" spans="6:11" x14ac:dyDescent="0.25">
      <c r="F6" t="s">
        <v>7</v>
      </c>
      <c r="G6" s="2">
        <f>G7-G5</f>
        <v>8153.4000000000005</v>
      </c>
      <c r="H6" s="2">
        <f t="shared" ref="H6:K6" si="0">H7-H5</f>
        <v>0</v>
      </c>
      <c r="I6" s="2">
        <f t="shared" si="0"/>
        <v>3185.4000000000005</v>
      </c>
      <c r="J6" s="2">
        <f t="shared" si="0"/>
        <v>8193.5</v>
      </c>
      <c r="K6" s="2">
        <f t="shared" si="0"/>
        <v>1411.3</v>
      </c>
    </row>
    <row r="7" spans="6:11" x14ac:dyDescent="0.25">
      <c r="F7" t="s">
        <v>4</v>
      </c>
      <c r="G7" s="2">
        <f>AVERAGE(StandardAggregatesBoth[Newtonsoft.Json])</f>
        <v>14002.6</v>
      </c>
      <c r="H7" s="2">
        <f>AVERAGE(StandardAggregatesBoth[Jil])</f>
        <v>-1</v>
      </c>
      <c r="I7" s="2">
        <f>AVERAGE(StandardAggregatesBoth[Manual])</f>
        <v>7995.3</v>
      </c>
      <c r="J7" s="2">
        <f>AVERAGE(StandardAggregatesBoth[Revenj.Json])</f>
        <v>16077.4</v>
      </c>
      <c r="K7" s="2">
        <f>AVERAGE(StandardAggregatesBoth[Revenj.Protobuf])</f>
        <v>3010.1</v>
      </c>
    </row>
    <row r="12" spans="6:11" x14ac:dyDescent="0.25">
      <c r="F12" t="s">
        <v>10</v>
      </c>
      <c r="G12" t="s">
        <v>5</v>
      </c>
      <c r="H12" t="s">
        <v>0</v>
      </c>
      <c r="I12" t="s">
        <v>6</v>
      </c>
      <c r="J12" t="s">
        <v>1</v>
      </c>
      <c r="K12" t="s">
        <v>2</v>
      </c>
    </row>
    <row r="13" spans="6:11" x14ac:dyDescent="0.25">
      <c r="F13" t="s">
        <v>3</v>
      </c>
      <c r="G13" s="2">
        <f>DEVSQ(StandardAggregatesSerialization[Newtonsoft.Json])</f>
        <v>55551.6</v>
      </c>
      <c r="H13" s="2">
        <f>DEVSQ(StandardAggregatesSerialization[Jil])</f>
        <v>0</v>
      </c>
      <c r="I13" s="2">
        <f>DEVSQ(StandardAggregatesSerialization[Manual])</f>
        <v>294886.89999999997</v>
      </c>
      <c r="J13" s="2">
        <f>DEVSQ(StandardAggregatesSerialization[Revenj.Json])</f>
        <v>126746.90000000001</v>
      </c>
      <c r="K13" s="2">
        <f>DEVSQ(StandardAggregatesSerialization[Revenj.Protobuf])</f>
        <v>51169.599999999991</v>
      </c>
    </row>
    <row r="14" spans="6:11" x14ac:dyDescent="0.25">
      <c r="F14" t="s">
        <v>4</v>
      </c>
      <c r="G14" s="2">
        <f>DEVSQ(StandardAggregatesBoth[Newtonsoft.Json])</f>
        <v>617414.40000000002</v>
      </c>
      <c r="H14" s="2">
        <f>DEVSQ(StandardAggregatesBoth[Jil])</f>
        <v>0</v>
      </c>
      <c r="I14" s="2">
        <f>DEVSQ(StandardAggregatesBoth[Manual])</f>
        <v>156838.09999999998</v>
      </c>
      <c r="J14" s="2">
        <f>DEVSQ(StandardAggregatesBoth[Revenj.Json])</f>
        <v>706244.39999999991</v>
      </c>
      <c r="K14" s="2">
        <f>DEVSQ(StandardAggregatesBoth[Revenj.Protobuf])</f>
        <v>53456.899999999994</v>
      </c>
    </row>
    <row r="15" spans="6:11" x14ac:dyDescent="0.25">
      <c r="G15" s="2"/>
      <c r="H15" s="2"/>
      <c r="I15" s="2"/>
      <c r="J15" s="2"/>
      <c r="K15" s="2"/>
    </row>
    <row r="19" spans="2:12" x14ac:dyDescent="0.25">
      <c r="B19" t="s">
        <v>17</v>
      </c>
    </row>
    <row r="23" spans="2:12" x14ac:dyDescent="0.25">
      <c r="B23" s="1" t="s">
        <v>8</v>
      </c>
      <c r="H23" s="1" t="s">
        <v>11</v>
      </c>
    </row>
    <row r="24" spans="2:12" x14ac:dyDescent="0.25">
      <c r="B24" t="s">
        <v>5</v>
      </c>
      <c r="C24" t="s">
        <v>0</v>
      </c>
      <c r="D24" t="s">
        <v>6</v>
      </c>
      <c r="E24" t="s">
        <v>1</v>
      </c>
      <c r="F24" t="s">
        <v>2</v>
      </c>
      <c r="H24" t="s">
        <v>5</v>
      </c>
      <c r="I24" t="s">
        <v>0</v>
      </c>
      <c r="J24" t="s">
        <v>6</v>
      </c>
      <c r="K24" t="s">
        <v>1</v>
      </c>
      <c r="L24" t="s">
        <v>2</v>
      </c>
    </row>
    <row r="25" spans="2:12" x14ac:dyDescent="0.25">
      <c r="B25">
        <v>5798</v>
      </c>
      <c r="C25">
        <v>-1</v>
      </c>
      <c r="D25">
        <v>4721</v>
      </c>
      <c r="E25">
        <v>7838</v>
      </c>
      <c r="F25">
        <v>1803</v>
      </c>
      <c r="H25">
        <v>13892</v>
      </c>
      <c r="I25">
        <v>-1</v>
      </c>
      <c r="J25">
        <v>8067</v>
      </c>
      <c r="K25">
        <v>15771</v>
      </c>
      <c r="L25">
        <v>2935</v>
      </c>
    </row>
    <row r="26" spans="2:12" x14ac:dyDescent="0.25">
      <c r="B26">
        <v>5794</v>
      </c>
      <c r="C26">
        <v>-1</v>
      </c>
      <c r="D26">
        <v>4692</v>
      </c>
      <c r="E26">
        <v>7895</v>
      </c>
      <c r="F26">
        <v>1548</v>
      </c>
      <c r="H26">
        <v>13867</v>
      </c>
      <c r="I26">
        <v>-1</v>
      </c>
      <c r="J26">
        <v>7876</v>
      </c>
      <c r="K26">
        <v>16186</v>
      </c>
      <c r="L26">
        <v>2943</v>
      </c>
    </row>
    <row r="27" spans="2:12" x14ac:dyDescent="0.25">
      <c r="B27">
        <v>5871</v>
      </c>
      <c r="C27">
        <v>-1</v>
      </c>
      <c r="D27">
        <v>4728</v>
      </c>
      <c r="E27">
        <v>7930</v>
      </c>
      <c r="F27">
        <v>1623</v>
      </c>
      <c r="H27">
        <v>13937</v>
      </c>
      <c r="I27">
        <v>-1</v>
      </c>
      <c r="J27">
        <v>7852</v>
      </c>
      <c r="K27">
        <v>15760</v>
      </c>
      <c r="L27">
        <v>2946</v>
      </c>
    </row>
    <row r="28" spans="2:12" x14ac:dyDescent="0.25">
      <c r="B28">
        <v>5799</v>
      </c>
      <c r="C28">
        <v>-1</v>
      </c>
      <c r="D28">
        <v>4778</v>
      </c>
      <c r="E28">
        <v>7830</v>
      </c>
      <c r="F28">
        <v>1559</v>
      </c>
      <c r="H28">
        <v>13881</v>
      </c>
      <c r="I28">
        <v>-1</v>
      </c>
      <c r="J28">
        <v>7872</v>
      </c>
      <c r="K28">
        <v>15777</v>
      </c>
      <c r="L28">
        <v>2962</v>
      </c>
    </row>
    <row r="29" spans="2:12" x14ac:dyDescent="0.25">
      <c r="B29">
        <v>5986</v>
      </c>
      <c r="C29">
        <v>-1</v>
      </c>
      <c r="D29">
        <v>4929</v>
      </c>
      <c r="E29">
        <v>7825</v>
      </c>
      <c r="F29">
        <v>1550</v>
      </c>
      <c r="H29">
        <v>13758</v>
      </c>
      <c r="I29">
        <v>-1</v>
      </c>
      <c r="J29">
        <v>7888</v>
      </c>
      <c r="K29">
        <v>16400</v>
      </c>
      <c r="L29">
        <v>2976</v>
      </c>
    </row>
    <row r="30" spans="2:12" x14ac:dyDescent="0.25">
      <c r="B30">
        <v>5869</v>
      </c>
      <c r="C30">
        <v>-1</v>
      </c>
      <c r="D30">
        <v>5290</v>
      </c>
      <c r="E30">
        <v>8007</v>
      </c>
      <c r="F30">
        <v>1570</v>
      </c>
      <c r="H30">
        <v>14173</v>
      </c>
      <c r="I30">
        <v>-1</v>
      </c>
      <c r="J30">
        <v>8160</v>
      </c>
      <c r="K30">
        <v>16021</v>
      </c>
      <c r="L30">
        <v>3002</v>
      </c>
    </row>
    <row r="31" spans="2:12" x14ac:dyDescent="0.25">
      <c r="B31">
        <v>5943</v>
      </c>
      <c r="C31">
        <v>-1</v>
      </c>
      <c r="D31">
        <v>4770</v>
      </c>
      <c r="E31">
        <v>7821</v>
      </c>
      <c r="F31">
        <v>1602</v>
      </c>
      <c r="H31">
        <v>13824</v>
      </c>
      <c r="I31">
        <v>-1</v>
      </c>
      <c r="J31">
        <v>7925</v>
      </c>
      <c r="K31">
        <v>16064</v>
      </c>
      <c r="L31">
        <v>2983</v>
      </c>
    </row>
    <row r="32" spans="2:12" x14ac:dyDescent="0.25">
      <c r="B32">
        <v>5765</v>
      </c>
      <c r="C32">
        <v>-1</v>
      </c>
      <c r="D32">
        <v>4728</v>
      </c>
      <c r="E32">
        <v>8151</v>
      </c>
      <c r="F32">
        <v>1573</v>
      </c>
      <c r="H32">
        <v>14008</v>
      </c>
      <c r="I32">
        <v>-1</v>
      </c>
      <c r="J32">
        <v>7984</v>
      </c>
      <c r="K32">
        <v>16086</v>
      </c>
      <c r="L32">
        <v>3118</v>
      </c>
    </row>
    <row r="33" spans="2:12" x14ac:dyDescent="0.25">
      <c r="B33">
        <v>5909</v>
      </c>
      <c r="C33">
        <v>-1</v>
      </c>
      <c r="D33">
        <v>4738</v>
      </c>
      <c r="E33">
        <v>7777</v>
      </c>
      <c r="F33">
        <v>1588</v>
      </c>
      <c r="H33">
        <v>14015</v>
      </c>
      <c r="I33">
        <v>-1</v>
      </c>
      <c r="J33">
        <v>8145</v>
      </c>
      <c r="K33">
        <v>16082</v>
      </c>
      <c r="L33">
        <v>3119</v>
      </c>
    </row>
    <row r="34" spans="2:12" x14ac:dyDescent="0.25">
      <c r="B34">
        <v>5758</v>
      </c>
      <c r="C34">
        <v>-1</v>
      </c>
      <c r="D34">
        <v>4725</v>
      </c>
      <c r="E34">
        <v>7765</v>
      </c>
      <c r="F34">
        <v>1572</v>
      </c>
      <c r="H34">
        <v>14671</v>
      </c>
      <c r="I34">
        <v>-1</v>
      </c>
      <c r="J34">
        <v>8184</v>
      </c>
      <c r="K34">
        <v>16627</v>
      </c>
      <c r="L34">
        <v>3117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4"/>
  <sheetViews>
    <sheetView workbookViewId="0">
      <selection activeCell="H7" sqref="H7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0.85546875" customWidth="1"/>
    <col min="10" max="10" width="14.7109375" customWidth="1"/>
    <col min="11" max="11" width="18" customWidth="1"/>
    <col min="12" max="12" width="21.28515625" customWidth="1"/>
  </cols>
  <sheetData>
    <row r="4" spans="6:11" x14ac:dyDescent="0.25">
      <c r="F4" t="s">
        <v>9</v>
      </c>
      <c r="G4" t="s">
        <v>5</v>
      </c>
      <c r="H4" t="s">
        <v>0</v>
      </c>
      <c r="I4" t="s">
        <v>6</v>
      </c>
      <c r="J4" t="s">
        <v>1</v>
      </c>
      <c r="K4" t="s">
        <v>2</v>
      </c>
    </row>
    <row r="5" spans="6:11" x14ac:dyDescent="0.25">
      <c r="F5" t="s">
        <v>3</v>
      </c>
      <c r="G5" s="2">
        <f>AVERAGE(LargeAggregatesSerialization[Newtonsoft.Json])</f>
        <v>3275.5</v>
      </c>
      <c r="H5" s="2">
        <f>AVERAGE(LargeAggregatesSerialization[Jil])</f>
        <v>9486.2999999999993</v>
      </c>
      <c r="I5" s="2">
        <f>AVERAGE(LargeAggregatesSerialization[Manual])</f>
        <v>2457.4</v>
      </c>
      <c r="J5" s="2">
        <f>AVERAGE(LargeAggregatesSerialization[Revenj.Json])</f>
        <v>3244.5</v>
      </c>
      <c r="K5" s="2">
        <f>AVERAGE(LargeAggregatesSerialization[Revenj.Protobuf])</f>
        <v>1107.5999999999999</v>
      </c>
    </row>
    <row r="6" spans="6:11" x14ac:dyDescent="0.25">
      <c r="F6" t="s">
        <v>7</v>
      </c>
      <c r="G6" s="2">
        <f>G7-G5</f>
        <v>4895.7</v>
      </c>
      <c r="H6" s="2">
        <v>-1</v>
      </c>
      <c r="I6" s="2">
        <f t="shared" ref="H6:K6" si="0">I7-I5</f>
        <v>4735</v>
      </c>
      <c r="J6" s="2">
        <f t="shared" si="0"/>
        <v>4762.7</v>
      </c>
      <c r="K6" s="2">
        <f t="shared" si="0"/>
        <v>1083.3000000000002</v>
      </c>
    </row>
    <row r="7" spans="6:11" x14ac:dyDescent="0.25">
      <c r="F7" t="s">
        <v>4</v>
      </c>
      <c r="G7" s="2">
        <f>AVERAGE(LargeAggregatesBoth[Newtonsoft.Json])</f>
        <v>8171.2</v>
      </c>
      <c r="H7" s="2">
        <f>AVERAGE(LargeAggregatesBoth[Jil])</f>
        <v>-1</v>
      </c>
      <c r="I7" s="2">
        <f>AVERAGE(LargeAggregatesBoth[Manual])</f>
        <v>7192.4</v>
      </c>
      <c r="J7" s="2">
        <f>AVERAGE(LargeAggregatesBoth[Revenj.Json])</f>
        <v>8007.2</v>
      </c>
      <c r="K7" s="2">
        <f>AVERAGE(LargeAggregatesBoth[Revenj.Protobuf])</f>
        <v>2190.9</v>
      </c>
    </row>
    <row r="12" spans="6:11" x14ac:dyDescent="0.25">
      <c r="F12" t="s">
        <v>10</v>
      </c>
      <c r="G12" t="s">
        <v>5</v>
      </c>
      <c r="H12" t="s">
        <v>0</v>
      </c>
      <c r="I12" t="s">
        <v>6</v>
      </c>
      <c r="J12" t="s">
        <v>1</v>
      </c>
      <c r="K12" t="s">
        <v>2</v>
      </c>
    </row>
    <row r="13" spans="6:11" x14ac:dyDescent="0.25">
      <c r="F13" t="s">
        <v>3</v>
      </c>
      <c r="G13" s="2">
        <f>DEVSQ(LargeAggregatesSerialization[Newtonsoft.Json])</f>
        <v>18592.5</v>
      </c>
      <c r="H13" s="2">
        <f>DEVSQ(LargeAggregatesSerialization[Jil])</f>
        <v>17380.100000000002</v>
      </c>
      <c r="I13" s="2">
        <f>DEVSQ(LargeAggregatesSerialization[Manual])</f>
        <v>7006.3999999999987</v>
      </c>
      <c r="J13" s="2">
        <f>DEVSQ(LargeAggregatesSerialization[Revenj.Json])</f>
        <v>7926.5</v>
      </c>
      <c r="K13" s="2">
        <f>DEVSQ(LargeAggregatesSerialization[Revenj.Protobuf])</f>
        <v>2816.3999999999996</v>
      </c>
    </row>
    <row r="14" spans="6:11" x14ac:dyDescent="0.25">
      <c r="F14" t="s">
        <v>4</v>
      </c>
      <c r="G14" s="2">
        <f>DEVSQ(LargeAggregatesBoth[Newtonsoft.Json])</f>
        <v>126845.6</v>
      </c>
      <c r="H14" s="2">
        <f>DEVSQ(LargeAggregatesBoth[Jil])</f>
        <v>0</v>
      </c>
      <c r="I14" s="2">
        <f>DEVSQ(LargeAggregatesBoth[Manual])</f>
        <v>4470.4000000000005</v>
      </c>
      <c r="J14" s="2">
        <f>DEVSQ(LargeAggregatesBoth[Revenj.Json])</f>
        <v>37497.600000000006</v>
      </c>
      <c r="K14" s="2">
        <f>DEVSQ(LargeAggregatesBoth[Revenj.Protobuf])</f>
        <v>36962.9</v>
      </c>
    </row>
    <row r="15" spans="6:11" x14ac:dyDescent="0.25">
      <c r="G15" s="2"/>
      <c r="H15" s="2"/>
      <c r="I15" s="2"/>
      <c r="J15" s="2"/>
      <c r="K15" s="2"/>
    </row>
    <row r="19" spans="2:12" x14ac:dyDescent="0.25">
      <c r="B19" t="s">
        <v>18</v>
      </c>
    </row>
    <row r="23" spans="2:12" x14ac:dyDescent="0.25">
      <c r="B23" s="1" t="s">
        <v>8</v>
      </c>
      <c r="H23" s="1" t="s">
        <v>11</v>
      </c>
    </row>
    <row r="24" spans="2:12" x14ac:dyDescent="0.25">
      <c r="B24" t="s">
        <v>5</v>
      </c>
      <c r="C24" t="s">
        <v>0</v>
      </c>
      <c r="D24" t="s">
        <v>6</v>
      </c>
      <c r="E24" t="s">
        <v>1</v>
      </c>
      <c r="F24" t="s">
        <v>2</v>
      </c>
      <c r="H24" t="s">
        <v>5</v>
      </c>
      <c r="I24" t="s">
        <v>0</v>
      </c>
      <c r="J24" t="s">
        <v>6</v>
      </c>
      <c r="K24" t="s">
        <v>1</v>
      </c>
      <c r="L24" t="s">
        <v>2</v>
      </c>
    </row>
    <row r="25" spans="2:12" x14ac:dyDescent="0.25">
      <c r="B25">
        <v>3361</v>
      </c>
      <c r="C25">
        <v>9497</v>
      </c>
      <c r="D25">
        <v>2452</v>
      </c>
      <c r="E25">
        <v>3276</v>
      </c>
      <c r="F25">
        <v>1116</v>
      </c>
      <c r="H25">
        <v>8394</v>
      </c>
      <c r="I25">
        <v>-1</v>
      </c>
      <c r="J25">
        <v>7186</v>
      </c>
      <c r="K25">
        <v>8171</v>
      </c>
      <c r="L25">
        <v>2170</v>
      </c>
    </row>
    <row r="26" spans="2:12" x14ac:dyDescent="0.25">
      <c r="B26">
        <v>3261</v>
      </c>
      <c r="C26">
        <v>9490</v>
      </c>
      <c r="D26">
        <v>2435</v>
      </c>
      <c r="E26">
        <v>3225</v>
      </c>
      <c r="F26">
        <v>1080</v>
      </c>
      <c r="H26">
        <v>8097</v>
      </c>
      <c r="I26">
        <v>-1</v>
      </c>
      <c r="J26">
        <v>7170</v>
      </c>
      <c r="K26">
        <v>8013</v>
      </c>
      <c r="L26">
        <v>2188</v>
      </c>
    </row>
    <row r="27" spans="2:12" x14ac:dyDescent="0.25">
      <c r="B27">
        <v>3216</v>
      </c>
      <c r="C27">
        <v>9452</v>
      </c>
      <c r="D27">
        <v>2488</v>
      </c>
      <c r="E27">
        <v>3259</v>
      </c>
      <c r="F27">
        <v>1107</v>
      </c>
      <c r="H27">
        <v>8150</v>
      </c>
      <c r="I27">
        <v>-1</v>
      </c>
      <c r="J27">
        <v>7169</v>
      </c>
      <c r="K27">
        <v>7992</v>
      </c>
      <c r="L27">
        <v>2367</v>
      </c>
    </row>
    <row r="28" spans="2:12" x14ac:dyDescent="0.25">
      <c r="B28">
        <v>3255</v>
      </c>
      <c r="C28">
        <v>9463</v>
      </c>
      <c r="D28">
        <v>2504</v>
      </c>
      <c r="E28">
        <v>3239</v>
      </c>
      <c r="F28">
        <v>1095</v>
      </c>
      <c r="H28">
        <v>8105</v>
      </c>
      <c r="I28">
        <v>-1</v>
      </c>
      <c r="J28">
        <v>7175</v>
      </c>
      <c r="K28">
        <v>8056</v>
      </c>
      <c r="L28">
        <v>2159</v>
      </c>
    </row>
    <row r="29" spans="2:12" x14ac:dyDescent="0.25">
      <c r="B29">
        <v>3286</v>
      </c>
      <c r="C29">
        <v>9506</v>
      </c>
      <c r="D29">
        <v>2434</v>
      </c>
      <c r="E29">
        <v>3267</v>
      </c>
      <c r="F29">
        <v>1127</v>
      </c>
      <c r="H29">
        <v>8012</v>
      </c>
      <c r="I29">
        <v>-1</v>
      </c>
      <c r="J29">
        <v>7221</v>
      </c>
      <c r="K29">
        <v>7970</v>
      </c>
      <c r="L29">
        <v>2194</v>
      </c>
    </row>
    <row r="30" spans="2:12" x14ac:dyDescent="0.25">
      <c r="B30">
        <v>3339</v>
      </c>
      <c r="C30">
        <v>9497</v>
      </c>
      <c r="D30">
        <v>2474</v>
      </c>
      <c r="E30">
        <v>3276</v>
      </c>
      <c r="F30">
        <v>1100</v>
      </c>
      <c r="H30">
        <v>8197</v>
      </c>
      <c r="I30">
        <v>-1</v>
      </c>
      <c r="J30">
        <v>7186</v>
      </c>
      <c r="K30">
        <v>7967</v>
      </c>
      <c r="L30">
        <v>2174</v>
      </c>
    </row>
    <row r="31" spans="2:12" x14ac:dyDescent="0.25">
      <c r="B31">
        <v>3261</v>
      </c>
      <c r="C31">
        <v>9405</v>
      </c>
      <c r="D31">
        <v>2480</v>
      </c>
      <c r="E31">
        <v>3260</v>
      </c>
      <c r="F31">
        <v>1138</v>
      </c>
      <c r="H31">
        <v>8105</v>
      </c>
      <c r="I31">
        <v>-1</v>
      </c>
      <c r="J31">
        <v>7173</v>
      </c>
      <c r="K31">
        <v>7975</v>
      </c>
      <c r="L31">
        <v>2150</v>
      </c>
    </row>
    <row r="32" spans="2:12" x14ac:dyDescent="0.25">
      <c r="B32">
        <v>3276</v>
      </c>
      <c r="C32">
        <v>9460</v>
      </c>
      <c r="D32">
        <v>2419</v>
      </c>
      <c r="E32">
        <v>3206</v>
      </c>
      <c r="F32">
        <v>1121</v>
      </c>
      <c r="H32">
        <v>8076</v>
      </c>
      <c r="I32">
        <v>-1</v>
      </c>
      <c r="J32">
        <v>7206</v>
      </c>
      <c r="K32">
        <v>7958</v>
      </c>
      <c r="L32">
        <v>2194</v>
      </c>
    </row>
    <row r="33" spans="2:12" x14ac:dyDescent="0.25">
      <c r="B33">
        <v>3277</v>
      </c>
      <c r="C33">
        <v>9531</v>
      </c>
      <c r="D33">
        <v>2454</v>
      </c>
      <c r="E33">
        <v>3189</v>
      </c>
      <c r="F33">
        <v>1093</v>
      </c>
      <c r="H33">
        <v>8280</v>
      </c>
      <c r="I33">
        <v>-1</v>
      </c>
      <c r="J33">
        <v>7208</v>
      </c>
      <c r="K33">
        <v>7968</v>
      </c>
      <c r="L33">
        <v>2165</v>
      </c>
    </row>
    <row r="34" spans="2:12" x14ac:dyDescent="0.25">
      <c r="B34">
        <v>3223</v>
      </c>
      <c r="C34">
        <v>9562</v>
      </c>
      <c r="D34">
        <v>2434</v>
      </c>
      <c r="E34">
        <v>3248</v>
      </c>
      <c r="F34">
        <v>1099</v>
      </c>
      <c r="H34">
        <v>8296</v>
      </c>
      <c r="I34">
        <v>-1</v>
      </c>
      <c r="J34">
        <v>7230</v>
      </c>
      <c r="K34">
        <v>8002</v>
      </c>
      <c r="L34">
        <v>2148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Startup times</vt:lpstr>
      <vt:lpstr>Small events</vt:lpstr>
      <vt:lpstr>Small values</vt:lpstr>
      <vt:lpstr>Small aggregates</vt:lpstr>
      <vt:lpstr>Standard events</vt:lpstr>
      <vt:lpstr>Standard aggregates</vt:lpstr>
      <vt:lpstr>Large aggregates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2014-10-11T14:43:09Z</dcterms:modified>
</cp:coreProperties>
</file>