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omments1.xml" ContentType="application/vnd.openxmlformats-officedocument.spreadsheetml.comment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comments2.xml" ContentType="application/vnd.openxmlformats-officedocument.spreadsheetml.comment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comments3.xml" ContentType="application/vnd.openxmlformats-officedocument.spreadsheetml.comment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comments4.xml" ContentType="application/vnd.openxmlformats-officedocument.spreadsheetml.comment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comments5.xml" ContentType="application/vnd.openxmlformats-officedocument.spreadsheetml.comment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comments6.xml" ContentType="application/vnd.openxmlformats-officedocument.spreadsheetml.comment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comments7.xml" ContentType="application/vnd.openxmlformats-officedocument.spreadsheetml.comments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comments8.xml" ContentType="application/vnd.openxmlformats-officedocument.spreadsheetml.comment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comments9.xml" ContentType="application/vnd.openxmlformats-officedocument.spreadsheetml.comment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comments10.xml" ContentType="application/vnd.openxmlformats-officedocument.spreadsheetml.comment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comments11.xml" ContentType="application/vnd.openxmlformats-officedocument.spreadsheetml.comments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7935"/>
  </bookViews>
  <sheets>
    <sheet name="Startup" sheetId="1" r:id="rId1"/>
    <sheet name="Small M 1" sheetId="3" r:id="rId2"/>
    <sheet name="Small M 2" sheetId="4" r:id="rId3"/>
    <sheet name="Small M 3" sheetId="5" r:id="rId4"/>
    <sheet name="Small C 1" sheetId="6" r:id="rId5"/>
    <sheet name="Small C 2" sheetId="7" r:id="rId6"/>
    <sheet name="Small C 3" sheetId="8" r:id="rId7"/>
    <sheet name="Small P 1" sheetId="9" r:id="rId8"/>
    <sheet name="Small P 2" sheetId="10" r:id="rId9"/>
    <sheet name="Small P 3" sheetId="11" r:id="rId10"/>
    <sheet name="Std D 1" sheetId="12" r:id="rId11"/>
    <sheet name="Std D 2" sheetId="13" r:id="rId12"/>
    <sheet name="Std D 3" sheetId="14" r:id="rId13"/>
    <sheet name="Std P 1" sheetId="15" r:id="rId14"/>
    <sheet name="Std P 2" sheetId="16" r:id="rId15"/>
    <sheet name="Std P 3" sheetId="17" r:id="rId16"/>
    <sheet name="Large 1" sheetId="18" r:id="rId17"/>
    <sheet name="Large 2" sheetId="19" r:id="rId18"/>
  </sheets>
  <calcPr calcId="145621"/>
</workbook>
</file>

<file path=xl/calcChain.xml><?xml version="1.0" encoding="utf-8"?>
<calcChain xmlns="http://schemas.openxmlformats.org/spreadsheetml/2006/main">
  <c r="M42" i="1" l="1"/>
  <c r="M41" i="1"/>
  <c r="M38" i="1"/>
  <c r="M39" i="1" s="1"/>
  <c r="L42" i="1"/>
  <c r="L41" i="1"/>
  <c r="L38" i="1"/>
  <c r="L39" i="1" s="1"/>
  <c r="L48" i="1"/>
  <c r="L47" i="1"/>
  <c r="M48" i="1"/>
  <c r="M47" i="1"/>
  <c r="E48" i="1"/>
  <c r="E47" i="1"/>
  <c r="E42" i="1"/>
  <c r="E41" i="1"/>
  <c r="E38" i="1"/>
  <c r="E39" i="1" s="1"/>
  <c r="M40" i="1" l="1"/>
  <c r="L40" i="1"/>
  <c r="E40" i="1"/>
  <c r="K42" i="1"/>
  <c r="I41" i="1"/>
  <c r="I38" i="1"/>
  <c r="I39" i="1" s="1"/>
  <c r="J41" i="1"/>
  <c r="J38" i="1"/>
  <c r="J39" i="1" s="1"/>
  <c r="K41" i="1"/>
  <c r="K38" i="1"/>
  <c r="K39" i="1" s="1"/>
  <c r="J40" i="1" l="1"/>
  <c r="K40" i="1"/>
  <c r="F42" i="1"/>
  <c r="D42" i="1"/>
  <c r="C42" i="1"/>
  <c r="N41" i="1"/>
  <c r="N38" i="1"/>
  <c r="N39" i="1" s="1"/>
  <c r="I48" i="1"/>
  <c r="I47" i="1"/>
  <c r="N42" i="1"/>
  <c r="I40" i="1"/>
  <c r="N40" i="1" l="1"/>
  <c r="J42" i="1"/>
  <c r="I42" i="1"/>
  <c r="H41" i="1"/>
  <c r="H38" i="1"/>
  <c r="H39" i="1" s="1"/>
  <c r="H42" i="1"/>
  <c r="G41" i="1"/>
  <c r="G38" i="1"/>
  <c r="G39" i="1" s="1"/>
  <c r="G42" i="1"/>
  <c r="F41" i="1"/>
  <c r="F38" i="1"/>
  <c r="F39" i="1" s="1"/>
  <c r="D41" i="1"/>
  <c r="D38" i="1"/>
  <c r="D39" i="1" s="1"/>
  <c r="C41" i="1"/>
  <c r="C38" i="1"/>
  <c r="C39" i="1" s="1"/>
  <c r="H47" i="1"/>
  <c r="H48" i="1"/>
  <c r="N48" i="1"/>
  <c r="N47" i="1"/>
  <c r="K47" i="1"/>
  <c r="K48" i="1"/>
  <c r="J48" i="1"/>
  <c r="G47" i="1"/>
  <c r="G48" i="1"/>
  <c r="F47" i="1"/>
  <c r="D47" i="1"/>
  <c r="G40" i="1" l="1"/>
  <c r="C40" i="1"/>
  <c r="F40" i="1"/>
  <c r="D40" i="1"/>
  <c r="H40" i="1"/>
  <c r="D48" i="1"/>
  <c r="F48" i="1"/>
  <c r="C48" i="1"/>
  <c r="J47" i="1" l="1"/>
  <c r="C47" i="1"/>
  <c r="N48" i="19"/>
  <c r="M48" i="19"/>
  <c r="L48" i="19"/>
  <c r="K48" i="19"/>
  <c r="J48" i="19"/>
  <c r="I48" i="19"/>
  <c r="H48" i="19"/>
  <c r="G48" i="19"/>
  <c r="F48" i="19"/>
  <c r="E48" i="19"/>
  <c r="D48" i="19"/>
  <c r="C48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N41" i="19"/>
  <c r="M41" i="19"/>
  <c r="L41" i="19"/>
  <c r="K41" i="19"/>
  <c r="J41" i="19"/>
  <c r="I41" i="19"/>
  <c r="I40" i="19" s="1"/>
  <c r="H41" i="19"/>
  <c r="G41" i="19"/>
  <c r="G40" i="19" s="1"/>
  <c r="F41" i="19"/>
  <c r="E41" i="19"/>
  <c r="D41" i="19"/>
  <c r="C41" i="19"/>
  <c r="D40" i="19"/>
  <c r="I39" i="19"/>
  <c r="H39" i="19"/>
  <c r="G39" i="19"/>
  <c r="N38" i="19"/>
  <c r="N39" i="19" s="1"/>
  <c r="N40" i="19" s="1"/>
  <c r="M38" i="19"/>
  <c r="M39" i="19" s="1"/>
  <c r="M40" i="19" s="1"/>
  <c r="L38" i="19"/>
  <c r="L39" i="19" s="1"/>
  <c r="L40" i="19" s="1"/>
  <c r="K38" i="19"/>
  <c r="K39" i="19" s="1"/>
  <c r="K40" i="19" s="1"/>
  <c r="J38" i="19"/>
  <c r="J39" i="19" s="1"/>
  <c r="J40" i="19" s="1"/>
  <c r="I38" i="19"/>
  <c r="H38" i="19"/>
  <c r="G38" i="19"/>
  <c r="F38" i="19"/>
  <c r="F39" i="19" s="1"/>
  <c r="F40" i="19" s="1"/>
  <c r="E38" i="19"/>
  <c r="E39" i="19" s="1"/>
  <c r="E40" i="19" s="1"/>
  <c r="D38" i="19"/>
  <c r="D39" i="19" s="1"/>
  <c r="C38" i="19"/>
  <c r="C39" i="19" s="1"/>
  <c r="C40" i="19" s="1"/>
  <c r="N48" i="18"/>
  <c r="M48" i="18"/>
  <c r="L48" i="18"/>
  <c r="K48" i="18"/>
  <c r="J48" i="18"/>
  <c r="I48" i="18"/>
  <c r="H48" i="18"/>
  <c r="G48" i="18"/>
  <c r="F48" i="18"/>
  <c r="E48" i="18"/>
  <c r="D48" i="18"/>
  <c r="C48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N41" i="18"/>
  <c r="M41" i="18"/>
  <c r="M40" i="18" s="1"/>
  <c r="L41" i="18"/>
  <c r="K41" i="18"/>
  <c r="K40" i="18" s="1"/>
  <c r="J41" i="18"/>
  <c r="I41" i="18"/>
  <c r="H41" i="18"/>
  <c r="G41" i="18"/>
  <c r="F41" i="18"/>
  <c r="E41" i="18"/>
  <c r="E40" i="18" s="1"/>
  <c r="D41" i="18"/>
  <c r="C41" i="18"/>
  <c r="H40" i="18"/>
  <c r="M39" i="18"/>
  <c r="L39" i="18"/>
  <c r="K39" i="18"/>
  <c r="E39" i="18"/>
  <c r="D39" i="18"/>
  <c r="N38" i="18"/>
  <c r="N39" i="18" s="1"/>
  <c r="N40" i="18" s="1"/>
  <c r="M38" i="18"/>
  <c r="L38" i="18"/>
  <c r="K38" i="18"/>
  <c r="J38" i="18"/>
  <c r="J39" i="18" s="1"/>
  <c r="J40" i="18" s="1"/>
  <c r="I38" i="18"/>
  <c r="I39" i="18" s="1"/>
  <c r="I40" i="18" s="1"/>
  <c r="H38" i="18"/>
  <c r="H39" i="18" s="1"/>
  <c r="G38" i="18"/>
  <c r="G39" i="18" s="1"/>
  <c r="G40" i="18" s="1"/>
  <c r="F38" i="18"/>
  <c r="F39" i="18" s="1"/>
  <c r="F40" i="18" s="1"/>
  <c r="E38" i="18"/>
  <c r="D38" i="18"/>
  <c r="C38" i="18"/>
  <c r="C39" i="18" s="1"/>
  <c r="N48" i="17"/>
  <c r="M48" i="17"/>
  <c r="L48" i="17"/>
  <c r="K48" i="17"/>
  <c r="J48" i="17"/>
  <c r="I48" i="17"/>
  <c r="H48" i="17"/>
  <c r="G48" i="17"/>
  <c r="F48" i="17"/>
  <c r="E48" i="17"/>
  <c r="D48" i="17"/>
  <c r="C48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N41" i="17"/>
  <c r="M41" i="17"/>
  <c r="L41" i="17"/>
  <c r="J41" i="17"/>
  <c r="I41" i="17"/>
  <c r="I40" i="17" s="1"/>
  <c r="H41" i="17"/>
  <c r="H40" i="17" s="1"/>
  <c r="G41" i="17"/>
  <c r="G40" i="17" s="1"/>
  <c r="F41" i="17"/>
  <c r="E41" i="17"/>
  <c r="D41" i="17"/>
  <c r="C41" i="17"/>
  <c r="I39" i="17"/>
  <c r="H39" i="17"/>
  <c r="G39" i="17"/>
  <c r="N38" i="17"/>
  <c r="N39" i="17" s="1"/>
  <c r="N40" i="17" s="1"/>
  <c r="M38" i="17"/>
  <c r="M39" i="17" s="1"/>
  <c r="M40" i="17" s="1"/>
  <c r="L38" i="17"/>
  <c r="L39" i="17" s="1"/>
  <c r="L40" i="17" s="1"/>
  <c r="K38" i="17"/>
  <c r="K39" i="17" s="1"/>
  <c r="K40" i="17" s="1"/>
  <c r="J38" i="17"/>
  <c r="J39" i="17" s="1"/>
  <c r="I38" i="17"/>
  <c r="H38" i="17"/>
  <c r="G38" i="17"/>
  <c r="F38" i="17"/>
  <c r="F39" i="17" s="1"/>
  <c r="F40" i="17" s="1"/>
  <c r="E38" i="17"/>
  <c r="E39" i="17" s="1"/>
  <c r="E40" i="17" s="1"/>
  <c r="D38" i="17"/>
  <c r="D39" i="17" s="1"/>
  <c r="D40" i="17" s="1"/>
  <c r="C38" i="17"/>
  <c r="C39" i="17" s="1"/>
  <c r="C40" i="17" s="1"/>
  <c r="N48" i="16"/>
  <c r="M48" i="16"/>
  <c r="L48" i="16"/>
  <c r="K48" i="16"/>
  <c r="J48" i="16"/>
  <c r="I48" i="16"/>
  <c r="H48" i="16"/>
  <c r="G48" i="16"/>
  <c r="F48" i="16"/>
  <c r="E48" i="16"/>
  <c r="D48" i="16"/>
  <c r="C48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N41" i="16"/>
  <c r="N40" i="16" s="1"/>
  <c r="M41" i="16"/>
  <c r="M40" i="16" s="1"/>
  <c r="L41" i="16"/>
  <c r="L40" i="16" s="1"/>
  <c r="K40" i="16"/>
  <c r="J41" i="16"/>
  <c r="I41" i="16"/>
  <c r="H41" i="16"/>
  <c r="G41" i="16"/>
  <c r="F41" i="16"/>
  <c r="F40" i="16" s="1"/>
  <c r="E41" i="16"/>
  <c r="E40" i="16" s="1"/>
  <c r="D41" i="16"/>
  <c r="D40" i="16" s="1"/>
  <c r="C41" i="16"/>
  <c r="C40" i="16" s="1"/>
  <c r="H40" i="16"/>
  <c r="N39" i="16"/>
  <c r="M39" i="16"/>
  <c r="L39" i="16"/>
  <c r="K39" i="16"/>
  <c r="F39" i="16"/>
  <c r="E39" i="16"/>
  <c r="D39" i="16"/>
  <c r="C39" i="16"/>
  <c r="N38" i="16"/>
  <c r="M38" i="16"/>
  <c r="L38" i="16"/>
  <c r="K38" i="16"/>
  <c r="J38" i="16"/>
  <c r="J39" i="16" s="1"/>
  <c r="J40" i="16" s="1"/>
  <c r="I38" i="16"/>
  <c r="I39" i="16" s="1"/>
  <c r="I40" i="16" s="1"/>
  <c r="H38" i="16"/>
  <c r="H39" i="16" s="1"/>
  <c r="G38" i="16"/>
  <c r="G39" i="16" s="1"/>
  <c r="G40" i="16" s="1"/>
  <c r="F38" i="16"/>
  <c r="E38" i="16"/>
  <c r="D38" i="16"/>
  <c r="C38" i="16"/>
  <c r="N48" i="15"/>
  <c r="M48" i="15"/>
  <c r="L48" i="15"/>
  <c r="K48" i="15"/>
  <c r="J48" i="15"/>
  <c r="I48" i="15"/>
  <c r="H48" i="15"/>
  <c r="G48" i="15"/>
  <c r="F48" i="15"/>
  <c r="E48" i="15"/>
  <c r="D48" i="15"/>
  <c r="C48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N41" i="15"/>
  <c r="M41" i="15"/>
  <c r="L41" i="15"/>
  <c r="J41" i="15"/>
  <c r="J40" i="15" s="1"/>
  <c r="I41" i="15"/>
  <c r="I40" i="15" s="1"/>
  <c r="H41" i="15"/>
  <c r="H40" i="15" s="1"/>
  <c r="G41" i="15"/>
  <c r="G40" i="15" s="1"/>
  <c r="F41" i="15"/>
  <c r="E41" i="15"/>
  <c r="D41" i="15"/>
  <c r="C41" i="15"/>
  <c r="D40" i="15"/>
  <c r="J39" i="15"/>
  <c r="I39" i="15"/>
  <c r="H39" i="15"/>
  <c r="G39" i="15"/>
  <c r="N38" i="15"/>
  <c r="N39" i="15" s="1"/>
  <c r="N40" i="15" s="1"/>
  <c r="M38" i="15"/>
  <c r="M39" i="15" s="1"/>
  <c r="M40" i="15" s="1"/>
  <c r="L38" i="15"/>
  <c r="L39" i="15" s="1"/>
  <c r="L40" i="15" s="1"/>
  <c r="K38" i="15"/>
  <c r="K39" i="15" s="1"/>
  <c r="K40" i="15" s="1"/>
  <c r="J38" i="15"/>
  <c r="I38" i="15"/>
  <c r="H38" i="15"/>
  <c r="G38" i="15"/>
  <c r="F38" i="15"/>
  <c r="F39" i="15" s="1"/>
  <c r="F40" i="15" s="1"/>
  <c r="E38" i="15"/>
  <c r="E39" i="15" s="1"/>
  <c r="E40" i="15" s="1"/>
  <c r="D38" i="15"/>
  <c r="D39" i="15" s="1"/>
  <c r="C38" i="15"/>
  <c r="C39" i="15" s="1"/>
  <c r="C40" i="15" s="1"/>
  <c r="N48" i="14"/>
  <c r="M48" i="14"/>
  <c r="L48" i="14"/>
  <c r="K48" i="14"/>
  <c r="J48" i="14"/>
  <c r="I48" i="14"/>
  <c r="H48" i="14"/>
  <c r="G48" i="14"/>
  <c r="F48" i="14"/>
  <c r="E48" i="14"/>
  <c r="D48" i="14"/>
  <c r="C48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N41" i="14"/>
  <c r="N40" i="14" s="1"/>
  <c r="M41" i="14"/>
  <c r="M40" i="14" s="1"/>
  <c r="L41" i="14"/>
  <c r="L40" i="14" s="1"/>
  <c r="K40" i="14"/>
  <c r="J41" i="14"/>
  <c r="I41" i="14"/>
  <c r="H41" i="14"/>
  <c r="G41" i="14"/>
  <c r="F41" i="14"/>
  <c r="F40" i="14" s="1"/>
  <c r="E41" i="14"/>
  <c r="D41" i="14"/>
  <c r="D40" i="14" s="1"/>
  <c r="C41" i="14"/>
  <c r="C40" i="14" s="1"/>
  <c r="H40" i="14"/>
  <c r="N39" i="14"/>
  <c r="M39" i="14"/>
  <c r="L39" i="14"/>
  <c r="K39" i="14"/>
  <c r="F39" i="14"/>
  <c r="E39" i="14"/>
  <c r="D39" i="14"/>
  <c r="C39" i="14"/>
  <c r="N38" i="14"/>
  <c r="M38" i="14"/>
  <c r="L38" i="14"/>
  <c r="K38" i="14"/>
  <c r="J38" i="14"/>
  <c r="J39" i="14" s="1"/>
  <c r="J40" i="14" s="1"/>
  <c r="I38" i="14"/>
  <c r="I39" i="14" s="1"/>
  <c r="I40" i="14" s="1"/>
  <c r="H38" i="14"/>
  <c r="H39" i="14" s="1"/>
  <c r="G38" i="14"/>
  <c r="G39" i="14" s="1"/>
  <c r="G40" i="14" s="1"/>
  <c r="F38" i="14"/>
  <c r="E38" i="14"/>
  <c r="D38" i="14"/>
  <c r="C38" i="14"/>
  <c r="N48" i="13"/>
  <c r="M48" i="13"/>
  <c r="L48" i="13"/>
  <c r="K48" i="13"/>
  <c r="J48" i="13"/>
  <c r="I48" i="13"/>
  <c r="H48" i="13"/>
  <c r="G48" i="13"/>
  <c r="F48" i="13"/>
  <c r="E48" i="13"/>
  <c r="D48" i="13"/>
  <c r="C48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N41" i="13"/>
  <c r="M41" i="13"/>
  <c r="L41" i="13"/>
  <c r="J41" i="13"/>
  <c r="J40" i="13" s="1"/>
  <c r="I41" i="13"/>
  <c r="I40" i="13" s="1"/>
  <c r="H41" i="13"/>
  <c r="H40" i="13" s="1"/>
  <c r="G41" i="13"/>
  <c r="G40" i="13" s="1"/>
  <c r="F41" i="13"/>
  <c r="E41" i="13"/>
  <c r="D41" i="13"/>
  <c r="C41" i="13"/>
  <c r="L40" i="13"/>
  <c r="D40" i="13"/>
  <c r="J39" i="13"/>
  <c r="I39" i="13"/>
  <c r="H39" i="13"/>
  <c r="G39" i="13"/>
  <c r="N38" i="13"/>
  <c r="N39" i="13" s="1"/>
  <c r="N40" i="13" s="1"/>
  <c r="M38" i="13"/>
  <c r="M39" i="13" s="1"/>
  <c r="M40" i="13" s="1"/>
  <c r="L38" i="13"/>
  <c r="L39" i="13" s="1"/>
  <c r="K38" i="13"/>
  <c r="K39" i="13" s="1"/>
  <c r="K40" i="13" s="1"/>
  <c r="J38" i="13"/>
  <c r="I38" i="13"/>
  <c r="H38" i="13"/>
  <c r="G38" i="13"/>
  <c r="F38" i="13"/>
  <c r="F39" i="13" s="1"/>
  <c r="F40" i="13" s="1"/>
  <c r="E38" i="13"/>
  <c r="E39" i="13" s="1"/>
  <c r="E40" i="13" s="1"/>
  <c r="D38" i="13"/>
  <c r="D39" i="13" s="1"/>
  <c r="C38" i="13"/>
  <c r="C39" i="13" s="1"/>
  <c r="C40" i="13" s="1"/>
  <c r="N48" i="12"/>
  <c r="M48" i="12"/>
  <c r="L48" i="12"/>
  <c r="K48" i="12"/>
  <c r="J48" i="12"/>
  <c r="I48" i="12"/>
  <c r="H48" i="12"/>
  <c r="G48" i="12"/>
  <c r="F48" i="12"/>
  <c r="E48" i="12"/>
  <c r="D48" i="12"/>
  <c r="C48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N41" i="12"/>
  <c r="N40" i="12" s="1"/>
  <c r="M41" i="12"/>
  <c r="M40" i="12" s="1"/>
  <c r="L41" i="12"/>
  <c r="K40" i="12"/>
  <c r="J41" i="12"/>
  <c r="I41" i="12"/>
  <c r="H41" i="12"/>
  <c r="G41" i="12"/>
  <c r="F41" i="12"/>
  <c r="F40" i="12" s="1"/>
  <c r="E41" i="12"/>
  <c r="E40" i="12" s="1"/>
  <c r="D41" i="12"/>
  <c r="D40" i="12" s="1"/>
  <c r="C41" i="12"/>
  <c r="C40" i="12" s="1"/>
  <c r="N39" i="12"/>
  <c r="M39" i="12"/>
  <c r="L39" i="12"/>
  <c r="K39" i="12"/>
  <c r="F39" i="12"/>
  <c r="E39" i="12"/>
  <c r="D39" i="12"/>
  <c r="C39" i="12"/>
  <c r="N38" i="12"/>
  <c r="M38" i="12"/>
  <c r="L38" i="12"/>
  <c r="K38" i="12"/>
  <c r="J38" i="12"/>
  <c r="J39" i="12" s="1"/>
  <c r="J40" i="12" s="1"/>
  <c r="I38" i="12"/>
  <c r="I39" i="12" s="1"/>
  <c r="I40" i="12" s="1"/>
  <c r="H38" i="12"/>
  <c r="H39" i="12" s="1"/>
  <c r="H40" i="12" s="1"/>
  <c r="G38" i="12"/>
  <c r="G39" i="12" s="1"/>
  <c r="G40" i="12" s="1"/>
  <c r="F38" i="12"/>
  <c r="E38" i="12"/>
  <c r="D38" i="12"/>
  <c r="C38" i="12"/>
  <c r="N48" i="11"/>
  <c r="M48" i="11"/>
  <c r="L48" i="11"/>
  <c r="K48" i="11"/>
  <c r="J48" i="11"/>
  <c r="I48" i="11"/>
  <c r="H48" i="11"/>
  <c r="G48" i="11"/>
  <c r="F48" i="11"/>
  <c r="E48" i="11"/>
  <c r="D48" i="11"/>
  <c r="C48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N42" i="11"/>
  <c r="L42" i="11"/>
  <c r="K42" i="11"/>
  <c r="J42" i="11"/>
  <c r="I42" i="11"/>
  <c r="H42" i="11"/>
  <c r="G42" i="11"/>
  <c r="F42" i="11"/>
  <c r="E42" i="11"/>
  <c r="D42" i="11"/>
  <c r="C42" i="11"/>
  <c r="N41" i="11"/>
  <c r="M41" i="11"/>
  <c r="L41" i="11"/>
  <c r="K41" i="11"/>
  <c r="J41" i="11"/>
  <c r="J40" i="11" s="1"/>
  <c r="I41" i="11"/>
  <c r="H41" i="11"/>
  <c r="G41" i="11"/>
  <c r="G40" i="11" s="1"/>
  <c r="F41" i="11"/>
  <c r="E41" i="11"/>
  <c r="D41" i="11"/>
  <c r="C41" i="11"/>
  <c r="E40" i="11"/>
  <c r="J39" i="11"/>
  <c r="I39" i="11"/>
  <c r="H39" i="11"/>
  <c r="G39" i="11"/>
  <c r="N38" i="11"/>
  <c r="N39" i="11" s="1"/>
  <c r="N40" i="11" s="1"/>
  <c r="M38" i="11"/>
  <c r="L38" i="11"/>
  <c r="L39" i="11" s="1"/>
  <c r="L40" i="11" s="1"/>
  <c r="K38" i="11"/>
  <c r="K39" i="11" s="1"/>
  <c r="K40" i="11" s="1"/>
  <c r="J38" i="11"/>
  <c r="I38" i="11"/>
  <c r="H38" i="11"/>
  <c r="G38" i="11"/>
  <c r="F38" i="11"/>
  <c r="F39" i="11" s="1"/>
  <c r="F40" i="11" s="1"/>
  <c r="E38" i="11"/>
  <c r="E39" i="11" s="1"/>
  <c r="D38" i="11"/>
  <c r="D39" i="11" s="1"/>
  <c r="D40" i="11" s="1"/>
  <c r="C38" i="11"/>
  <c r="C39" i="11" s="1"/>
  <c r="C40" i="11" s="1"/>
  <c r="N48" i="10"/>
  <c r="M48" i="10"/>
  <c r="L48" i="10"/>
  <c r="K48" i="10"/>
  <c r="J48" i="10"/>
  <c r="I48" i="10"/>
  <c r="H48" i="10"/>
  <c r="G48" i="10"/>
  <c r="F48" i="10"/>
  <c r="E48" i="10"/>
  <c r="D48" i="10"/>
  <c r="C48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N42" i="10"/>
  <c r="L42" i="10"/>
  <c r="K42" i="10"/>
  <c r="J42" i="10"/>
  <c r="I42" i="10"/>
  <c r="H42" i="10"/>
  <c r="G42" i="10"/>
  <c r="F42" i="10"/>
  <c r="E42" i="10"/>
  <c r="D42" i="10"/>
  <c r="C42" i="10"/>
  <c r="N41" i="10"/>
  <c r="N40" i="10" s="1"/>
  <c r="M41" i="10"/>
  <c r="L41" i="10"/>
  <c r="L40" i="10" s="1"/>
  <c r="K41" i="10"/>
  <c r="K40" i="10" s="1"/>
  <c r="J41" i="10"/>
  <c r="I41" i="10"/>
  <c r="H41" i="10"/>
  <c r="G41" i="10"/>
  <c r="F41" i="10"/>
  <c r="F40" i="10" s="1"/>
  <c r="E41" i="10"/>
  <c r="E40" i="10" s="1"/>
  <c r="D41" i="10"/>
  <c r="D40" i="10" s="1"/>
  <c r="C41" i="10"/>
  <c r="C40" i="10" s="1"/>
  <c r="H40" i="10"/>
  <c r="N39" i="10"/>
  <c r="L39" i="10"/>
  <c r="K39" i="10"/>
  <c r="F39" i="10"/>
  <c r="E39" i="10"/>
  <c r="D39" i="10"/>
  <c r="C39" i="10"/>
  <c r="N38" i="10"/>
  <c r="M38" i="10"/>
  <c r="L38" i="10"/>
  <c r="K38" i="10"/>
  <c r="J38" i="10"/>
  <c r="J39" i="10" s="1"/>
  <c r="J40" i="10" s="1"/>
  <c r="I38" i="10"/>
  <c r="I39" i="10" s="1"/>
  <c r="I40" i="10" s="1"/>
  <c r="H38" i="10"/>
  <c r="H39" i="10" s="1"/>
  <c r="G38" i="10"/>
  <c r="G39" i="10" s="1"/>
  <c r="G40" i="10" s="1"/>
  <c r="F38" i="10"/>
  <c r="E38" i="10"/>
  <c r="D38" i="10"/>
  <c r="C38" i="10"/>
  <c r="N48" i="9"/>
  <c r="M48" i="9"/>
  <c r="L48" i="9"/>
  <c r="K48" i="9"/>
  <c r="J48" i="9"/>
  <c r="I48" i="9"/>
  <c r="H48" i="9"/>
  <c r="G48" i="9"/>
  <c r="F48" i="9"/>
  <c r="E48" i="9"/>
  <c r="D48" i="9"/>
  <c r="C48" i="9"/>
  <c r="N47" i="9"/>
  <c r="M47" i="9"/>
  <c r="L47" i="9"/>
  <c r="K47" i="9"/>
  <c r="J47" i="9"/>
  <c r="I47" i="9"/>
  <c r="H47" i="9"/>
  <c r="G47" i="9"/>
  <c r="F47" i="9"/>
  <c r="E47" i="9"/>
  <c r="D47" i="9"/>
  <c r="C47" i="9"/>
  <c r="N42" i="9"/>
  <c r="L42" i="9"/>
  <c r="K42" i="9"/>
  <c r="J42" i="9"/>
  <c r="I42" i="9"/>
  <c r="H42" i="9"/>
  <c r="G42" i="9"/>
  <c r="F42" i="9"/>
  <c r="E42" i="9"/>
  <c r="D42" i="9"/>
  <c r="C42" i="9"/>
  <c r="N41" i="9"/>
  <c r="M41" i="9"/>
  <c r="L41" i="9"/>
  <c r="K41" i="9"/>
  <c r="J41" i="9"/>
  <c r="J40" i="9" s="1"/>
  <c r="I41" i="9"/>
  <c r="H41" i="9"/>
  <c r="G41" i="9"/>
  <c r="G40" i="9" s="1"/>
  <c r="F41" i="9"/>
  <c r="E41" i="9"/>
  <c r="D41" i="9"/>
  <c r="C41" i="9"/>
  <c r="D40" i="9"/>
  <c r="J39" i="9"/>
  <c r="I39" i="9"/>
  <c r="H39" i="9"/>
  <c r="G39" i="9"/>
  <c r="N38" i="9"/>
  <c r="N39" i="9" s="1"/>
  <c r="N40" i="9" s="1"/>
  <c r="M38" i="9"/>
  <c r="L38" i="9"/>
  <c r="L39" i="9" s="1"/>
  <c r="L40" i="9" s="1"/>
  <c r="K38" i="9"/>
  <c r="K39" i="9" s="1"/>
  <c r="K40" i="9" s="1"/>
  <c r="J38" i="9"/>
  <c r="I38" i="9"/>
  <c r="H38" i="9"/>
  <c r="G38" i="9"/>
  <c r="F38" i="9"/>
  <c r="F39" i="9" s="1"/>
  <c r="F40" i="9" s="1"/>
  <c r="E38" i="9"/>
  <c r="E39" i="9" s="1"/>
  <c r="E40" i="9" s="1"/>
  <c r="D38" i="9"/>
  <c r="D39" i="9" s="1"/>
  <c r="C38" i="9"/>
  <c r="C39" i="9" s="1"/>
  <c r="C40" i="9" s="1"/>
  <c r="N48" i="8"/>
  <c r="M48" i="8"/>
  <c r="L48" i="8"/>
  <c r="K48" i="8"/>
  <c r="J48" i="8"/>
  <c r="I48" i="8"/>
  <c r="H48" i="8"/>
  <c r="G48" i="8"/>
  <c r="F48" i="8"/>
  <c r="E48" i="8"/>
  <c r="D48" i="8"/>
  <c r="C48" i="8"/>
  <c r="N47" i="8"/>
  <c r="M47" i="8"/>
  <c r="L47" i="8"/>
  <c r="K47" i="8"/>
  <c r="J47" i="8"/>
  <c r="I47" i="8"/>
  <c r="H47" i="8"/>
  <c r="G47" i="8"/>
  <c r="F47" i="8"/>
  <c r="E47" i="8"/>
  <c r="D47" i="8"/>
  <c r="C47" i="8"/>
  <c r="N42" i="8"/>
  <c r="M42" i="8"/>
  <c r="L42" i="8"/>
  <c r="K42" i="8"/>
  <c r="J42" i="8"/>
  <c r="I42" i="8"/>
  <c r="H42" i="8"/>
  <c r="G42" i="8"/>
  <c r="F42" i="8"/>
  <c r="E42" i="8"/>
  <c r="D42" i="8"/>
  <c r="C42" i="8"/>
  <c r="N41" i="8"/>
  <c r="N40" i="8" s="1"/>
  <c r="M41" i="8"/>
  <c r="L41" i="8"/>
  <c r="K41" i="8"/>
  <c r="K40" i="8" s="1"/>
  <c r="J41" i="8"/>
  <c r="I41" i="8"/>
  <c r="H41" i="8"/>
  <c r="G41" i="8"/>
  <c r="F41" i="8"/>
  <c r="F40" i="8" s="1"/>
  <c r="E41" i="8"/>
  <c r="D41" i="8"/>
  <c r="C41" i="8"/>
  <c r="C40" i="8" s="1"/>
  <c r="I40" i="8"/>
  <c r="H40" i="8"/>
  <c r="N39" i="8"/>
  <c r="M39" i="8"/>
  <c r="L39" i="8"/>
  <c r="K39" i="8"/>
  <c r="F39" i="8"/>
  <c r="E39" i="8"/>
  <c r="D39" i="8"/>
  <c r="C39" i="8"/>
  <c r="N38" i="8"/>
  <c r="M38" i="8"/>
  <c r="L38" i="8"/>
  <c r="K38" i="8"/>
  <c r="J38" i="8"/>
  <c r="J39" i="8" s="1"/>
  <c r="J40" i="8" s="1"/>
  <c r="I38" i="8"/>
  <c r="I39" i="8" s="1"/>
  <c r="H38" i="8"/>
  <c r="H39" i="8" s="1"/>
  <c r="G38" i="8"/>
  <c r="G39" i="8" s="1"/>
  <c r="G40" i="8" s="1"/>
  <c r="F38" i="8"/>
  <c r="E38" i="8"/>
  <c r="D38" i="8"/>
  <c r="C38" i="8"/>
  <c r="N48" i="7"/>
  <c r="M48" i="7"/>
  <c r="L48" i="7"/>
  <c r="K48" i="7"/>
  <c r="J48" i="7"/>
  <c r="I48" i="7"/>
  <c r="H48" i="7"/>
  <c r="G48" i="7"/>
  <c r="F48" i="7"/>
  <c r="E48" i="7"/>
  <c r="D48" i="7"/>
  <c r="C48" i="7"/>
  <c r="N47" i="7"/>
  <c r="M47" i="7"/>
  <c r="L47" i="7"/>
  <c r="K47" i="7"/>
  <c r="J47" i="7"/>
  <c r="I47" i="7"/>
  <c r="H47" i="7"/>
  <c r="G47" i="7"/>
  <c r="F47" i="7"/>
  <c r="E47" i="7"/>
  <c r="D47" i="7"/>
  <c r="C47" i="7"/>
  <c r="N42" i="7"/>
  <c r="M42" i="7"/>
  <c r="L42" i="7"/>
  <c r="K42" i="7"/>
  <c r="J42" i="7"/>
  <c r="I42" i="7"/>
  <c r="H42" i="7"/>
  <c r="G42" i="7"/>
  <c r="F42" i="7"/>
  <c r="E42" i="7"/>
  <c r="D42" i="7"/>
  <c r="C42" i="7"/>
  <c r="N41" i="7"/>
  <c r="M41" i="7"/>
  <c r="L41" i="7"/>
  <c r="K41" i="7"/>
  <c r="J41" i="7"/>
  <c r="J40" i="7" s="1"/>
  <c r="I41" i="7"/>
  <c r="I40" i="7" s="1"/>
  <c r="H41" i="7"/>
  <c r="H40" i="7" s="1"/>
  <c r="G41" i="7"/>
  <c r="G40" i="7" s="1"/>
  <c r="F41" i="7"/>
  <c r="E41" i="7"/>
  <c r="D41" i="7"/>
  <c r="C41" i="7"/>
  <c r="E40" i="7"/>
  <c r="D40" i="7"/>
  <c r="J39" i="7"/>
  <c r="I39" i="7"/>
  <c r="H39" i="7"/>
  <c r="G39" i="7"/>
  <c r="N38" i="7"/>
  <c r="N39" i="7" s="1"/>
  <c r="N40" i="7" s="1"/>
  <c r="M38" i="7"/>
  <c r="M39" i="7" s="1"/>
  <c r="M40" i="7" s="1"/>
  <c r="L38" i="7"/>
  <c r="L39" i="7" s="1"/>
  <c r="L40" i="7" s="1"/>
  <c r="K38" i="7"/>
  <c r="K39" i="7" s="1"/>
  <c r="K40" i="7" s="1"/>
  <c r="J38" i="7"/>
  <c r="I38" i="7"/>
  <c r="H38" i="7"/>
  <c r="G38" i="7"/>
  <c r="F38" i="7"/>
  <c r="F39" i="7" s="1"/>
  <c r="F40" i="7" s="1"/>
  <c r="E38" i="7"/>
  <c r="E39" i="7" s="1"/>
  <c r="D38" i="7"/>
  <c r="D39" i="7" s="1"/>
  <c r="C38" i="7"/>
  <c r="C39" i="7" s="1"/>
  <c r="C40" i="7" s="1"/>
  <c r="N48" i="6"/>
  <c r="M48" i="6"/>
  <c r="L48" i="6"/>
  <c r="K48" i="6"/>
  <c r="J48" i="6"/>
  <c r="I48" i="6"/>
  <c r="H48" i="6"/>
  <c r="G48" i="6"/>
  <c r="F48" i="6"/>
  <c r="E48" i="6"/>
  <c r="D48" i="6"/>
  <c r="C48" i="6"/>
  <c r="N47" i="6"/>
  <c r="M47" i="6"/>
  <c r="L47" i="6"/>
  <c r="K47" i="6"/>
  <c r="J47" i="6"/>
  <c r="I47" i="6"/>
  <c r="H47" i="6"/>
  <c r="G47" i="6"/>
  <c r="F47" i="6"/>
  <c r="E47" i="6"/>
  <c r="D47" i="6"/>
  <c r="C47" i="6"/>
  <c r="N42" i="6"/>
  <c r="M42" i="6"/>
  <c r="L42" i="6"/>
  <c r="K42" i="6"/>
  <c r="J42" i="6"/>
  <c r="I42" i="6"/>
  <c r="H42" i="6"/>
  <c r="G42" i="6"/>
  <c r="F42" i="6"/>
  <c r="E42" i="6"/>
  <c r="D42" i="6"/>
  <c r="C42" i="6"/>
  <c r="N41" i="6"/>
  <c r="N40" i="6" s="1"/>
  <c r="M41" i="6"/>
  <c r="M40" i="6" s="1"/>
  <c r="L41" i="6"/>
  <c r="L40" i="6" s="1"/>
  <c r="K41" i="6"/>
  <c r="K40" i="6" s="1"/>
  <c r="J41" i="6"/>
  <c r="I41" i="6"/>
  <c r="H41" i="6"/>
  <c r="G41" i="6"/>
  <c r="F41" i="6"/>
  <c r="F40" i="6" s="1"/>
  <c r="E41" i="6"/>
  <c r="D41" i="6"/>
  <c r="D40" i="6" s="1"/>
  <c r="C41" i="6"/>
  <c r="C40" i="6" s="1"/>
  <c r="H40" i="6"/>
  <c r="N39" i="6"/>
  <c r="M39" i="6"/>
  <c r="L39" i="6"/>
  <c r="K39" i="6"/>
  <c r="F39" i="6"/>
  <c r="E39" i="6"/>
  <c r="D39" i="6"/>
  <c r="C39" i="6"/>
  <c r="N38" i="6"/>
  <c r="M38" i="6"/>
  <c r="L38" i="6"/>
  <c r="K38" i="6"/>
  <c r="J38" i="6"/>
  <c r="J39" i="6" s="1"/>
  <c r="J40" i="6" s="1"/>
  <c r="I38" i="6"/>
  <c r="I39" i="6" s="1"/>
  <c r="I40" i="6" s="1"/>
  <c r="H38" i="6"/>
  <c r="H39" i="6" s="1"/>
  <c r="G38" i="6"/>
  <c r="G39" i="6" s="1"/>
  <c r="G40" i="6" s="1"/>
  <c r="F38" i="6"/>
  <c r="E38" i="6"/>
  <c r="D38" i="6"/>
  <c r="C38" i="6"/>
  <c r="N48" i="5"/>
  <c r="M48" i="5"/>
  <c r="L48" i="5"/>
  <c r="K48" i="5"/>
  <c r="J48" i="5"/>
  <c r="I48" i="5"/>
  <c r="H48" i="5"/>
  <c r="G48" i="5"/>
  <c r="F48" i="5"/>
  <c r="E48" i="5"/>
  <c r="D48" i="5"/>
  <c r="C48" i="5"/>
  <c r="N47" i="5"/>
  <c r="M47" i="5"/>
  <c r="L47" i="5"/>
  <c r="K47" i="5"/>
  <c r="J47" i="5"/>
  <c r="I47" i="5"/>
  <c r="H47" i="5"/>
  <c r="G47" i="5"/>
  <c r="F47" i="5"/>
  <c r="E47" i="5"/>
  <c r="D47" i="5"/>
  <c r="C47" i="5"/>
  <c r="N42" i="5"/>
  <c r="M42" i="5"/>
  <c r="L42" i="5"/>
  <c r="K42" i="5"/>
  <c r="J42" i="5"/>
  <c r="I42" i="5"/>
  <c r="H42" i="5"/>
  <c r="G42" i="5"/>
  <c r="F42" i="5"/>
  <c r="E42" i="5"/>
  <c r="D42" i="5"/>
  <c r="C42" i="5"/>
  <c r="N41" i="5"/>
  <c r="M41" i="5"/>
  <c r="L41" i="5"/>
  <c r="K41" i="5"/>
  <c r="J41" i="5"/>
  <c r="J40" i="5" s="1"/>
  <c r="I41" i="5"/>
  <c r="I40" i="5" s="1"/>
  <c r="H41" i="5"/>
  <c r="G41" i="5"/>
  <c r="F41" i="5"/>
  <c r="E41" i="5"/>
  <c r="D41" i="5"/>
  <c r="C41" i="5"/>
  <c r="M40" i="5"/>
  <c r="L40" i="5"/>
  <c r="K40" i="5"/>
  <c r="J39" i="5"/>
  <c r="I39" i="5"/>
  <c r="H39" i="5"/>
  <c r="G39" i="5"/>
  <c r="N38" i="5"/>
  <c r="N39" i="5" s="1"/>
  <c r="N40" i="5" s="1"/>
  <c r="M38" i="5"/>
  <c r="M39" i="5" s="1"/>
  <c r="L38" i="5"/>
  <c r="L39" i="5" s="1"/>
  <c r="K38" i="5"/>
  <c r="K39" i="5" s="1"/>
  <c r="J38" i="5"/>
  <c r="I38" i="5"/>
  <c r="H38" i="5"/>
  <c r="G38" i="5"/>
  <c r="F38" i="5"/>
  <c r="F39" i="5" s="1"/>
  <c r="F40" i="5" s="1"/>
  <c r="E38" i="5"/>
  <c r="E39" i="5" s="1"/>
  <c r="E40" i="5" s="1"/>
  <c r="D38" i="5"/>
  <c r="D39" i="5" s="1"/>
  <c r="D40" i="5" s="1"/>
  <c r="C38" i="5"/>
  <c r="C39" i="5" s="1"/>
  <c r="C40" i="5" s="1"/>
  <c r="N48" i="4"/>
  <c r="M48" i="4"/>
  <c r="L48" i="4"/>
  <c r="K48" i="4"/>
  <c r="J48" i="4"/>
  <c r="I48" i="4"/>
  <c r="H48" i="4"/>
  <c r="G48" i="4"/>
  <c r="F48" i="4"/>
  <c r="E48" i="4"/>
  <c r="D48" i="4"/>
  <c r="C48" i="4"/>
  <c r="N47" i="4"/>
  <c r="M47" i="4"/>
  <c r="L47" i="4"/>
  <c r="K47" i="4"/>
  <c r="J47" i="4"/>
  <c r="I47" i="4"/>
  <c r="H47" i="4"/>
  <c r="G47" i="4"/>
  <c r="F47" i="4"/>
  <c r="E47" i="4"/>
  <c r="D47" i="4"/>
  <c r="C47" i="4"/>
  <c r="N42" i="4"/>
  <c r="M42" i="4"/>
  <c r="L42" i="4"/>
  <c r="K42" i="4"/>
  <c r="J42" i="4"/>
  <c r="I42" i="4"/>
  <c r="H42" i="4"/>
  <c r="G42" i="4"/>
  <c r="F42" i="4"/>
  <c r="E42" i="4"/>
  <c r="D42" i="4"/>
  <c r="C42" i="4"/>
  <c r="N41" i="4"/>
  <c r="N40" i="4" s="1"/>
  <c r="M41" i="4"/>
  <c r="M40" i="4" s="1"/>
  <c r="L41" i="4"/>
  <c r="L40" i="4" s="1"/>
  <c r="K41" i="4"/>
  <c r="J41" i="4"/>
  <c r="I41" i="4"/>
  <c r="H41" i="4"/>
  <c r="G41" i="4"/>
  <c r="F41" i="4"/>
  <c r="F40" i="4" s="1"/>
  <c r="E41" i="4"/>
  <c r="E40" i="4" s="1"/>
  <c r="D41" i="4"/>
  <c r="D40" i="4" s="1"/>
  <c r="C41" i="4"/>
  <c r="N39" i="4"/>
  <c r="M39" i="4"/>
  <c r="L39" i="4"/>
  <c r="K39" i="4"/>
  <c r="F39" i="4"/>
  <c r="E39" i="4"/>
  <c r="D39" i="4"/>
  <c r="C39" i="4"/>
  <c r="N38" i="4"/>
  <c r="M38" i="4"/>
  <c r="L38" i="4"/>
  <c r="K38" i="4"/>
  <c r="J38" i="4"/>
  <c r="J39" i="4" s="1"/>
  <c r="J40" i="4" s="1"/>
  <c r="I38" i="4"/>
  <c r="I39" i="4" s="1"/>
  <c r="I40" i="4" s="1"/>
  <c r="H38" i="4"/>
  <c r="H39" i="4" s="1"/>
  <c r="H40" i="4" s="1"/>
  <c r="G38" i="4"/>
  <c r="G39" i="4" s="1"/>
  <c r="G40" i="4" s="1"/>
  <c r="F38" i="4"/>
  <c r="E38" i="4"/>
  <c r="D38" i="4"/>
  <c r="C38" i="4"/>
  <c r="N48" i="3"/>
  <c r="M48" i="3"/>
  <c r="L48" i="3"/>
  <c r="K48" i="3"/>
  <c r="J48" i="3"/>
  <c r="I48" i="3"/>
  <c r="H48" i="3"/>
  <c r="G48" i="3"/>
  <c r="F48" i="3"/>
  <c r="E48" i="3"/>
  <c r="D48" i="3"/>
  <c r="C48" i="3"/>
  <c r="N47" i="3"/>
  <c r="M47" i="3"/>
  <c r="L47" i="3"/>
  <c r="K47" i="3"/>
  <c r="J47" i="3"/>
  <c r="I47" i="3"/>
  <c r="H47" i="3"/>
  <c r="G47" i="3"/>
  <c r="F47" i="3"/>
  <c r="E47" i="3"/>
  <c r="D47" i="3"/>
  <c r="C47" i="3"/>
  <c r="N42" i="3"/>
  <c r="M42" i="3"/>
  <c r="L42" i="3"/>
  <c r="K42" i="3"/>
  <c r="J42" i="3"/>
  <c r="I42" i="3"/>
  <c r="H42" i="3"/>
  <c r="G42" i="3"/>
  <c r="F42" i="3"/>
  <c r="E42" i="3"/>
  <c r="D42" i="3"/>
  <c r="C42" i="3"/>
  <c r="N41" i="3"/>
  <c r="M41" i="3"/>
  <c r="L41" i="3"/>
  <c r="K41" i="3"/>
  <c r="J41" i="3"/>
  <c r="J40" i="3" s="1"/>
  <c r="I41" i="3"/>
  <c r="H41" i="3"/>
  <c r="H40" i="3" s="1"/>
  <c r="G41" i="3"/>
  <c r="G40" i="3" s="1"/>
  <c r="F41" i="3"/>
  <c r="E41" i="3"/>
  <c r="D41" i="3"/>
  <c r="C41" i="3"/>
  <c r="K40" i="3"/>
  <c r="J39" i="3"/>
  <c r="I39" i="3"/>
  <c r="H39" i="3"/>
  <c r="G39" i="3"/>
  <c r="N38" i="3"/>
  <c r="N39" i="3" s="1"/>
  <c r="N40" i="3" s="1"/>
  <c r="M38" i="3"/>
  <c r="M39" i="3" s="1"/>
  <c r="M40" i="3" s="1"/>
  <c r="L38" i="3"/>
  <c r="L39" i="3" s="1"/>
  <c r="L40" i="3" s="1"/>
  <c r="K38" i="3"/>
  <c r="K39" i="3" s="1"/>
  <c r="J38" i="3"/>
  <c r="I38" i="3"/>
  <c r="H38" i="3"/>
  <c r="G38" i="3"/>
  <c r="F38" i="3"/>
  <c r="F39" i="3" s="1"/>
  <c r="F40" i="3" s="1"/>
  <c r="E38" i="3"/>
  <c r="E39" i="3" s="1"/>
  <c r="E40" i="3" s="1"/>
  <c r="D38" i="3"/>
  <c r="D39" i="3" s="1"/>
  <c r="D40" i="3" s="1"/>
  <c r="C38" i="3"/>
  <c r="C39" i="3" s="1"/>
  <c r="C40" i="3" s="1"/>
  <c r="D40" i="18" l="1"/>
  <c r="C40" i="18"/>
  <c r="G40" i="5"/>
  <c r="I40" i="11"/>
  <c r="H40" i="11"/>
  <c r="H40" i="5"/>
  <c r="L40" i="12"/>
  <c r="J40" i="17"/>
  <c r="E40" i="6"/>
  <c r="E40" i="14"/>
  <c r="I40" i="3"/>
  <c r="D40" i="8"/>
  <c r="L40" i="8"/>
  <c r="H40" i="9"/>
  <c r="H40" i="19"/>
  <c r="C40" i="4"/>
  <c r="K40" i="4"/>
  <c r="E40" i="8"/>
  <c r="M40" i="8"/>
  <c r="I40" i="9"/>
  <c r="L40" i="18"/>
</calcChain>
</file>

<file path=xl/comments1.xml><?xml version="1.0" encoding="utf-8"?>
<comments xmlns="http://schemas.openxmlformats.org/spreadsheetml/2006/main">
  <authors>
    <author>Rikard Pavelic</author>
  </authors>
  <commentList>
    <comment ref="M39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0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2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</commentList>
</comments>
</file>

<file path=xl/comments10.xml><?xml version="1.0" encoding="utf-8"?>
<comments xmlns="http://schemas.openxmlformats.org/spreadsheetml/2006/main">
  <authors>
    <author>Rikard Pavelic</author>
  </authors>
  <commentList>
    <comment ref="C37" authorId="0">
      <text>
        <r>
          <rPr>
            <b/>
            <sz val="9"/>
            <color indexed="81"/>
            <rFont val="Tahoma"/>
            <charset val="1"/>
          </rPr>
          <t>Rikard Pavelic:</t>
        </r>
        <r>
          <rPr>
            <sz val="9"/>
            <color indexed="81"/>
            <rFont val="Tahoma"/>
            <charset val="1"/>
          </rPr>
          <t xml:space="preserve">
It's much slower with vanila POCO classes</t>
        </r>
      </text>
    </comment>
  </commentList>
</comments>
</file>

<file path=xl/comments11.xml><?xml version="1.0" encoding="utf-8"?>
<comments xmlns="http://schemas.openxmlformats.org/spreadsheetml/2006/main">
  <authors>
    <author>Rikard Pavelic</author>
  </authors>
  <commentList>
    <comment ref="C37" authorId="0">
      <text>
        <r>
          <rPr>
            <b/>
            <sz val="9"/>
            <color indexed="81"/>
            <rFont val="Tahoma"/>
            <charset val="1"/>
          </rPr>
          <t>Rikard Pavelic:</t>
        </r>
        <r>
          <rPr>
            <sz val="9"/>
            <color indexed="81"/>
            <rFont val="Tahoma"/>
            <charset val="1"/>
          </rPr>
          <t xml:space="preserve">
It's much slower with vanila POCO classes</t>
        </r>
      </text>
    </comment>
  </commentList>
</comments>
</file>

<file path=xl/comments2.xml><?xml version="1.0" encoding="utf-8"?>
<comments xmlns="http://schemas.openxmlformats.org/spreadsheetml/2006/main">
  <authors>
    <author>Rikard Pavelic</author>
  </authors>
  <commentList>
    <comment ref="M39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0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2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</commentList>
</comments>
</file>

<file path=xl/comments3.xml><?xml version="1.0" encoding="utf-8"?>
<comments xmlns="http://schemas.openxmlformats.org/spreadsheetml/2006/main">
  <authors>
    <author>Rikard Pavelic</author>
  </authors>
  <commentList>
    <comment ref="M39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0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2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</commentList>
</comments>
</file>

<file path=xl/comments4.xml><?xml version="1.0" encoding="utf-8"?>
<comments xmlns="http://schemas.openxmlformats.org/spreadsheetml/2006/main">
  <authors>
    <author>Rikard Pavelic</author>
  </authors>
  <commentList>
    <comment ref="K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It justs creates an empty instance</t>
        </r>
      </text>
    </comment>
  </commentList>
</comments>
</file>

<file path=xl/comments5.xml><?xml version="1.0" encoding="utf-8"?>
<comments xmlns="http://schemas.openxmlformats.org/spreadsheetml/2006/main">
  <authors>
    <author>Rikard Pavelic</author>
  </authors>
  <commentList>
    <comment ref="K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It justs creates an empty instance</t>
        </r>
      </text>
    </comment>
  </commentList>
</comments>
</file>

<file path=xl/comments6.xml><?xml version="1.0" encoding="utf-8"?>
<comments xmlns="http://schemas.openxmlformats.org/spreadsheetml/2006/main">
  <authors>
    <author>Rikard Pavelic</author>
  </authors>
  <commentList>
    <comment ref="K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It justs creates an empty instance</t>
        </r>
      </text>
    </comment>
  </commentList>
</comments>
</file>

<file path=xl/comments7.xml><?xml version="1.0" encoding="utf-8"?>
<comments xmlns="http://schemas.openxmlformats.org/spreadsheetml/2006/main">
  <authors>
    <author>Rikard Pavelic</author>
  </authors>
  <commentList>
    <comment ref="K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It justs creates an empty instance</t>
        </r>
      </text>
    </comment>
  </commentList>
</comments>
</file>

<file path=xl/comments8.xml><?xml version="1.0" encoding="utf-8"?>
<comments xmlns="http://schemas.openxmlformats.org/spreadsheetml/2006/main">
  <authors>
    <author>Rikard Pavelic</author>
  </authors>
  <commentList>
    <comment ref="K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It justs creates an empty instance</t>
        </r>
      </text>
    </comment>
  </commentList>
</comments>
</file>

<file path=xl/comments9.xml><?xml version="1.0" encoding="utf-8"?>
<comments xmlns="http://schemas.openxmlformats.org/spreadsheetml/2006/main">
  <authors>
    <author>Rikard Pavelic</author>
  </authors>
  <commentList>
    <comment ref="K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It justs creates an empty instance</t>
        </r>
      </text>
    </comment>
  </commentList>
</comments>
</file>

<file path=xl/sharedStrings.xml><?xml version="1.0" encoding="utf-8"?>
<sst xmlns="http://schemas.openxmlformats.org/spreadsheetml/2006/main" count="1545" uniqueCount="55">
  <si>
    <t>Serialization</t>
  </si>
  <si>
    <t>Deserialization</t>
  </si>
  <si>
    <t>Average</t>
  </si>
  <si>
    <t>Deviation</t>
  </si>
  <si>
    <t>Size</t>
  </si>
  <si>
    <t>Newtonsoft (size)</t>
  </si>
  <si>
    <t>Jackson</t>
  </si>
  <si>
    <t>Jackson (size)</t>
  </si>
  <si>
    <t>Service Stack</t>
  </si>
  <si>
    <t>Instance + serialization + deserialization:</t>
  </si>
  <si>
    <t>Instance:</t>
  </si>
  <si>
    <t>Instance + serialization:</t>
  </si>
  <si>
    <t>Newtonsoft</t>
  </si>
  <si>
    <t>Revenj</t>
  </si>
  <si>
    <t>DSL Platform Java</t>
  </si>
  <si>
    <t>Gson</t>
  </si>
  <si>
    <t>Revenj (size)</t>
  </si>
  <si>
    <t>Service Stack (size)</t>
  </si>
  <si>
    <t>Jil (size)</t>
  </si>
  <si>
    <t>NetJSON (size)</t>
  </si>
  <si>
    <t>DSL Platform Java (size)</t>
  </si>
  <si>
    <t>Gson (size)</t>
  </si>
  <si>
    <t>NetJSON</t>
  </si>
  <si>
    <t>Jil</t>
  </si>
  <si>
    <t>Instance</t>
  </si>
  <si>
    <t>All</t>
  </si>
  <si>
    <t>Jackson afterburner</t>
  </si>
  <si>
    <t>Genson</t>
  </si>
  <si>
    <t>Genson (size)</t>
  </si>
  <si>
    <t>fastJSON</t>
  </si>
  <si>
    <t>Alibaba</t>
  </si>
  <si>
    <t>Boon</t>
  </si>
  <si>
    <t>fastJSON (size)</t>
  </si>
  <si>
    <t>Boon (size)</t>
  </si>
  <si>
    <t>Alibaba (size)</t>
  </si>
  <si>
    <t>Startup times: SmallObject.Message</t>
  </si>
  <si>
    <t>100.000 SmallObjects.Message</t>
  </si>
  <si>
    <t>1.000.000 SmallObjects.Message</t>
  </si>
  <si>
    <t>10.000.000 SmallObjects.Message</t>
  </si>
  <si>
    <t>100.000 SmallObjects.Complex</t>
  </si>
  <si>
    <t>1.000.000 SmallObjects.Complex</t>
  </si>
  <si>
    <t>10.000.000 SmallObjects.Complex</t>
  </si>
  <si>
    <t>100.000 SmallObjects.Post</t>
  </si>
  <si>
    <t>1.000.000 SmallObjects.Post</t>
  </si>
  <si>
    <t>10.000.000 SmallObjects.Post</t>
  </si>
  <si>
    <t>10.000 StandardObjects.DeletePost</t>
  </si>
  <si>
    <t>100.000 StandardObjects.DeletePost</t>
  </si>
  <si>
    <t>1.000.000 StandardObjects.DeletePost</t>
  </si>
  <si>
    <t>10.000 StandardObjects.Post</t>
  </si>
  <si>
    <t>100.000 StandardObjects.Post</t>
  </si>
  <si>
    <t>1.000.000 StandardObjects.Post</t>
  </si>
  <si>
    <t>100 LargeObjects.Book</t>
  </si>
  <si>
    <t>1.000 LargeObjects.Book</t>
  </si>
  <si>
    <t>removed</t>
  </si>
  <si>
    <t>Newtonsoft (DSL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</si>
</sst>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164" fontId="1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432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Startup!$B$39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Startup!$C$37:$N$37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Startup!$C$39:$N$39</c:f>
              <c:numCache>
                <c:formatCode>#,##0.0</c:formatCode>
                <c:ptCount val="12"/>
                <c:pt idx="0">
                  <c:v>74</c:v>
                </c:pt>
                <c:pt idx="1">
                  <c:v>2.5999999999999943</c:v>
                </c:pt>
                <c:pt idx="2">
                  <c:v>7.5999999999999943</c:v>
                </c:pt>
                <c:pt idx="3">
                  <c:v>121.79999999999998</c:v>
                </c:pt>
                <c:pt idx="4">
                  <c:v>164.2</c:v>
                </c:pt>
                <c:pt idx="5">
                  <c:v>53</c:v>
                </c:pt>
                <c:pt idx="6">
                  <c:v>63.400000000000006</c:v>
                </c:pt>
                <c:pt idx="7">
                  <c:v>0</c:v>
                </c:pt>
                <c:pt idx="8">
                  <c:v>41.800000000000004</c:v>
                </c:pt>
                <c:pt idx="9">
                  <c:v>66.8</c:v>
                </c:pt>
                <c:pt idx="10">
                  <c:v>113.4</c:v>
                </c:pt>
                <c:pt idx="11">
                  <c:v>24.8</c:v>
                </c:pt>
              </c:numCache>
            </c:numRef>
          </c:val>
        </c:ser>
        <c:ser>
          <c:idx val="1"/>
          <c:order val="1"/>
          <c:tx>
            <c:strRef>
              <c:f>Startup!$B$40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Startup!$C$37:$N$37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Startup!$C$40:$N$40</c:f>
              <c:numCache>
                <c:formatCode>#,##0.0</c:formatCode>
                <c:ptCount val="12"/>
                <c:pt idx="0">
                  <c:v>14.999999999999972</c:v>
                </c:pt>
                <c:pt idx="1">
                  <c:v>7.5999999999999943</c:v>
                </c:pt>
                <c:pt idx="2">
                  <c:v>8.1999999999999886</c:v>
                </c:pt>
                <c:pt idx="3">
                  <c:v>10</c:v>
                </c:pt>
                <c:pt idx="4">
                  <c:v>65.800000000000011</c:v>
                </c:pt>
                <c:pt idx="5">
                  <c:v>1.2000000000000171</c:v>
                </c:pt>
                <c:pt idx="6">
                  <c:v>35.799999999999997</c:v>
                </c:pt>
                <c:pt idx="7">
                  <c:v>2</c:v>
                </c:pt>
                <c:pt idx="8">
                  <c:v>3.5999999999999988</c:v>
                </c:pt>
                <c:pt idx="9">
                  <c:v>33</c:v>
                </c:pt>
                <c:pt idx="10">
                  <c:v>20.400000000000006</c:v>
                </c:pt>
                <c:pt idx="11">
                  <c:v>2.1999999999999993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016000"/>
        <c:axId val="198034176"/>
      </c:barChart>
      <c:catAx>
        <c:axId val="198016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8034176"/>
        <c:crosses val="autoZero"/>
        <c:auto val="1"/>
        <c:lblAlgn val="ctr"/>
        <c:lblOffset val="100"/>
        <c:noMultiLvlLbl val="0"/>
      </c:catAx>
      <c:valAx>
        <c:axId val="198034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9801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C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C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1'!$C$42:$N$42</c:f>
              <c:numCache>
                <c:formatCode>#,##0</c:formatCode>
                <c:ptCount val="12"/>
                <c:pt idx="0">
                  <c:v>3346889</c:v>
                </c:pt>
                <c:pt idx="1">
                  <c:v>3346472</c:v>
                </c:pt>
                <c:pt idx="2">
                  <c:v>3346489</c:v>
                </c:pt>
                <c:pt idx="3">
                  <c:v>3346489</c:v>
                </c:pt>
                <c:pt idx="4" formatCode="#,##0.0">
                  <c:v>3346489</c:v>
                </c:pt>
                <c:pt idx="5" formatCode="#,##0.0">
                  <c:v>3346472</c:v>
                </c:pt>
                <c:pt idx="6" formatCode="#,##0.0">
                  <c:v>3346883</c:v>
                </c:pt>
                <c:pt idx="7" formatCode="#,##0.0">
                  <c:v>3346868</c:v>
                </c:pt>
                <c:pt idx="8" formatCode="#,##0.0">
                  <c:v>3346889</c:v>
                </c:pt>
                <c:pt idx="9" formatCode="#,##0.0">
                  <c:v>3346875</c:v>
                </c:pt>
                <c:pt idx="10" formatCode="#,##0.0">
                  <c:v>3346689</c:v>
                </c:pt>
                <c:pt idx="11" formatCode="#,##0.0">
                  <c:v>3346889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88096"/>
        <c:axId val="203189632"/>
      </c:barChart>
      <c:catAx>
        <c:axId val="203188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3189632"/>
        <c:crosses val="autoZero"/>
        <c:auto val="1"/>
        <c:lblAlgn val="ctr"/>
        <c:lblOffset val="100"/>
        <c:noMultiLvlLbl val="0"/>
      </c:catAx>
      <c:valAx>
        <c:axId val="203189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0318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C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C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2'!$C$39:$N$39</c:f>
              <c:numCache>
                <c:formatCode>#,##0.0</c:formatCode>
                <c:ptCount val="12"/>
                <c:pt idx="0">
                  <c:v>5858.4</c:v>
                </c:pt>
                <c:pt idx="1">
                  <c:v>1930.6000000000001</c:v>
                </c:pt>
                <c:pt idx="2">
                  <c:v>4163.2</c:v>
                </c:pt>
                <c:pt idx="3">
                  <c:v>5001.2000000000007</c:v>
                </c:pt>
                <c:pt idx="4">
                  <c:v>4898.8</c:v>
                </c:pt>
                <c:pt idx="5">
                  <c:v>2027.2</c:v>
                </c:pt>
                <c:pt idx="6">
                  <c:v>864.19999999999993</c:v>
                </c:pt>
                <c:pt idx="7">
                  <c:v>420.2</c:v>
                </c:pt>
                <c:pt idx="8">
                  <c:v>3542</c:v>
                </c:pt>
                <c:pt idx="9">
                  <c:v>1341.8000000000002</c:v>
                </c:pt>
                <c:pt idx="10">
                  <c:v>936</c:v>
                </c:pt>
                <c:pt idx="11">
                  <c:v>1623.2</c:v>
                </c:pt>
              </c:numCache>
            </c:numRef>
          </c:val>
        </c:ser>
        <c:ser>
          <c:idx val="1"/>
          <c:order val="1"/>
          <c:tx>
            <c:strRef>
              <c:f>'Small C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C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2'!$C$40:$N$40</c:f>
              <c:numCache>
                <c:formatCode>#,##0.0</c:formatCode>
                <c:ptCount val="12"/>
                <c:pt idx="0">
                  <c:v>9316.2000000000007</c:v>
                </c:pt>
                <c:pt idx="1">
                  <c:v>2339.3999999999996</c:v>
                </c:pt>
                <c:pt idx="2">
                  <c:v>8122.2000000000016</c:v>
                </c:pt>
                <c:pt idx="3">
                  <c:v>6770.4</c:v>
                </c:pt>
                <c:pt idx="4">
                  <c:v>2739.8</c:v>
                </c:pt>
                <c:pt idx="5">
                  <c:v>2331</c:v>
                </c:pt>
                <c:pt idx="6">
                  <c:v>1286.2000000000003</c:v>
                </c:pt>
                <c:pt idx="7">
                  <c:v>358.7999999999999</c:v>
                </c:pt>
                <c:pt idx="8">
                  <c:v>4094.7999999999997</c:v>
                </c:pt>
                <c:pt idx="9">
                  <c:v>6564.9999999999991</c:v>
                </c:pt>
                <c:pt idx="10">
                  <c:v>1369.6</c:v>
                </c:pt>
                <c:pt idx="11">
                  <c:v>1695.8000000000004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05120"/>
        <c:axId val="198439680"/>
      </c:barChart>
      <c:catAx>
        <c:axId val="198405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8439680"/>
        <c:crosses val="autoZero"/>
        <c:auto val="1"/>
        <c:lblAlgn val="ctr"/>
        <c:lblOffset val="100"/>
        <c:noMultiLvlLbl val="0"/>
      </c:catAx>
      <c:valAx>
        <c:axId val="198439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9840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C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C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2'!$C$42:$N$42</c:f>
              <c:numCache>
                <c:formatCode>#,##0</c:formatCode>
                <c:ptCount val="12"/>
                <c:pt idx="0">
                  <c:v>36448889</c:v>
                </c:pt>
                <c:pt idx="1">
                  <c:v>36444872</c:v>
                </c:pt>
                <c:pt idx="2">
                  <c:v>36444889</c:v>
                </c:pt>
                <c:pt idx="3">
                  <c:v>36444889</c:v>
                </c:pt>
                <c:pt idx="4" formatCode="#,##0.0">
                  <c:v>36444889</c:v>
                </c:pt>
                <c:pt idx="5" formatCode="#,##0.0">
                  <c:v>36444872</c:v>
                </c:pt>
                <c:pt idx="6" formatCode="#,##0.0">
                  <c:v>36448883</c:v>
                </c:pt>
                <c:pt idx="7" formatCode="#,##0.0">
                  <c:v>36448868</c:v>
                </c:pt>
                <c:pt idx="8" formatCode="#,##0.0">
                  <c:v>36448889</c:v>
                </c:pt>
                <c:pt idx="9" formatCode="#,##0.0">
                  <c:v>36448875</c:v>
                </c:pt>
                <c:pt idx="10" formatCode="#,##0.0">
                  <c:v>36446889</c:v>
                </c:pt>
                <c:pt idx="11" formatCode="#,##0.0">
                  <c:v>36448889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62176"/>
        <c:axId val="204163712"/>
      </c:barChart>
      <c:catAx>
        <c:axId val="204162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4163712"/>
        <c:crosses val="autoZero"/>
        <c:auto val="1"/>
        <c:lblAlgn val="ctr"/>
        <c:lblOffset val="100"/>
        <c:noMultiLvlLbl val="0"/>
      </c:catAx>
      <c:valAx>
        <c:axId val="204163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0416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C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C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3'!$C$39:$N$39</c:f>
              <c:numCache>
                <c:formatCode>#,##0.0</c:formatCode>
                <c:ptCount val="12"/>
                <c:pt idx="0">
                  <c:v>60865.8</c:v>
                </c:pt>
                <c:pt idx="1">
                  <c:v>19989.599999999999</c:v>
                </c:pt>
                <c:pt idx="2">
                  <c:v>41934.6</c:v>
                </c:pt>
                <c:pt idx="3">
                  <c:v>49937.599999999999</c:v>
                </c:pt>
                <c:pt idx="4">
                  <c:v>49458</c:v>
                </c:pt>
                <c:pt idx="5">
                  <c:v>19308</c:v>
                </c:pt>
                <c:pt idx="6">
                  <c:v>7254.4000000000005</c:v>
                </c:pt>
                <c:pt idx="7">
                  <c:v>3780.2</c:v>
                </c:pt>
                <c:pt idx="8">
                  <c:v>35408</c:v>
                </c:pt>
                <c:pt idx="9">
                  <c:v>11953.2</c:v>
                </c:pt>
                <c:pt idx="10">
                  <c:v>7261.2</c:v>
                </c:pt>
                <c:pt idx="11">
                  <c:v>13842.599999999999</c:v>
                </c:pt>
              </c:numCache>
            </c:numRef>
          </c:val>
        </c:ser>
        <c:ser>
          <c:idx val="1"/>
          <c:order val="1"/>
          <c:tx>
            <c:strRef>
              <c:f>'Small C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C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3'!$C$40:$N$40</c:f>
              <c:numCache>
                <c:formatCode>#,##0.0</c:formatCode>
                <c:ptCount val="12"/>
                <c:pt idx="0">
                  <c:v>90682.799999999988</c:v>
                </c:pt>
                <c:pt idx="1">
                  <c:v>23218.799999999999</c:v>
                </c:pt>
                <c:pt idx="2">
                  <c:v>82925.39999999998</c:v>
                </c:pt>
                <c:pt idx="3">
                  <c:v>70809</c:v>
                </c:pt>
                <c:pt idx="4">
                  <c:v>28120.199999999997</c:v>
                </c:pt>
                <c:pt idx="5">
                  <c:v>24007.800000000003</c:v>
                </c:pt>
                <c:pt idx="6">
                  <c:v>11231.8</c:v>
                </c:pt>
                <c:pt idx="7">
                  <c:v>2742.2000000000007</c:v>
                </c:pt>
                <c:pt idx="8">
                  <c:v>40920</c:v>
                </c:pt>
                <c:pt idx="9">
                  <c:v>65580.000000000015</c:v>
                </c:pt>
                <c:pt idx="10">
                  <c:v>12967</c:v>
                </c:pt>
                <c:pt idx="11">
                  <c:v>18265.000000000004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933952"/>
        <c:axId val="203935744"/>
      </c:barChart>
      <c:catAx>
        <c:axId val="203933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3935744"/>
        <c:crosses val="autoZero"/>
        <c:auto val="1"/>
        <c:lblAlgn val="ctr"/>
        <c:lblOffset val="100"/>
        <c:noMultiLvlLbl val="0"/>
      </c:catAx>
      <c:valAx>
        <c:axId val="203935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20393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C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C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3'!$C$42:$N$42</c:f>
              <c:numCache>
                <c:formatCode>#,##0</c:formatCode>
                <c:ptCount val="12"/>
                <c:pt idx="0">
                  <c:v>394468889</c:v>
                </c:pt>
                <c:pt idx="1">
                  <c:v>394428872</c:v>
                </c:pt>
                <c:pt idx="2">
                  <c:v>394428889</c:v>
                </c:pt>
                <c:pt idx="3">
                  <c:v>394428889</c:v>
                </c:pt>
                <c:pt idx="4" formatCode="#,##0.0">
                  <c:v>394428889</c:v>
                </c:pt>
                <c:pt idx="5" formatCode="#,##0.0">
                  <c:v>394428872</c:v>
                </c:pt>
                <c:pt idx="6" formatCode="#,##0.0">
                  <c:v>394468883</c:v>
                </c:pt>
                <c:pt idx="7" formatCode="#,##0.0">
                  <c:v>394468868</c:v>
                </c:pt>
                <c:pt idx="8" formatCode="#,##0.0">
                  <c:v>394468889</c:v>
                </c:pt>
                <c:pt idx="9" formatCode="#,##0.0">
                  <c:v>394468875</c:v>
                </c:pt>
                <c:pt idx="10" formatCode="#,##0.0">
                  <c:v>394448889</c:v>
                </c:pt>
                <c:pt idx="11" formatCode="#,##0.0">
                  <c:v>394468889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972992"/>
        <c:axId val="203974528"/>
      </c:barChart>
      <c:catAx>
        <c:axId val="203972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3974528"/>
        <c:crosses val="autoZero"/>
        <c:auto val="1"/>
        <c:lblAlgn val="ctr"/>
        <c:lblOffset val="100"/>
        <c:noMultiLvlLbl val="0"/>
      </c:catAx>
      <c:valAx>
        <c:axId val="203974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0397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P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1'!$C$39:$N$39</c:f>
              <c:numCache>
                <c:formatCode>#,##0.0</c:formatCode>
                <c:ptCount val="12"/>
                <c:pt idx="0">
                  <c:v>559.19999999999993</c:v>
                </c:pt>
                <c:pt idx="1">
                  <c:v>198.39999999999998</c:v>
                </c:pt>
                <c:pt idx="2">
                  <c:v>1045</c:v>
                </c:pt>
                <c:pt idx="3">
                  <c:v>578.6</c:v>
                </c:pt>
                <c:pt idx="4">
                  <c:v>555.79999999999995</c:v>
                </c:pt>
                <c:pt idx="5">
                  <c:v>0</c:v>
                </c:pt>
                <c:pt idx="6">
                  <c:v>265.8</c:v>
                </c:pt>
                <c:pt idx="7">
                  <c:v>83.199999999999989</c:v>
                </c:pt>
                <c:pt idx="8">
                  <c:v>571.79999999999995</c:v>
                </c:pt>
                <c:pt idx="9">
                  <c:v>317.59999999999997</c:v>
                </c:pt>
                <c:pt idx="10">
                  <c:v>0</c:v>
                </c:pt>
                <c:pt idx="11">
                  <c:v>511.00000000000006</c:v>
                </c:pt>
              </c:numCache>
            </c:numRef>
          </c:val>
        </c:ser>
        <c:ser>
          <c:idx val="1"/>
          <c:order val="1"/>
          <c:tx>
            <c:strRef>
              <c:f>'Small P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1'!$C$40:$N$40</c:f>
              <c:numCache>
                <c:formatCode>#,##0.0</c:formatCode>
                <c:ptCount val="12"/>
                <c:pt idx="0">
                  <c:v>1116.8000000000002</c:v>
                </c:pt>
                <c:pt idx="1">
                  <c:v>376</c:v>
                </c:pt>
                <c:pt idx="2">
                  <c:v>1122</c:v>
                </c:pt>
                <c:pt idx="3">
                  <c:v>1074.4000000000001</c:v>
                </c:pt>
                <c:pt idx="4">
                  <c:v>435.40000000000009</c:v>
                </c:pt>
                <c:pt idx="5">
                  <c:v>0</c:v>
                </c:pt>
                <c:pt idx="6">
                  <c:v>454.8</c:v>
                </c:pt>
                <c:pt idx="7">
                  <c:v>65</c:v>
                </c:pt>
                <c:pt idx="8">
                  <c:v>422.4</c:v>
                </c:pt>
                <c:pt idx="9">
                  <c:v>0</c:v>
                </c:pt>
                <c:pt idx="10">
                  <c:v>0</c:v>
                </c:pt>
                <c:pt idx="11">
                  <c:v>702.8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61728"/>
        <c:axId val="202763264"/>
      </c:barChart>
      <c:catAx>
        <c:axId val="202761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763264"/>
        <c:crosses val="autoZero"/>
        <c:auto val="1"/>
        <c:lblAlgn val="ctr"/>
        <c:lblOffset val="100"/>
        <c:noMultiLvlLbl val="0"/>
      </c:catAx>
      <c:valAx>
        <c:axId val="202763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0276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P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1'!$C$42:$N$42</c:f>
              <c:numCache>
                <c:formatCode>#,##0</c:formatCode>
                <c:ptCount val="12"/>
                <c:pt idx="0">
                  <c:v>11938890</c:v>
                </c:pt>
                <c:pt idx="1">
                  <c:v>10188890</c:v>
                </c:pt>
                <c:pt idx="2">
                  <c:v>10738890</c:v>
                </c:pt>
                <c:pt idx="3">
                  <c:v>11838890</c:v>
                </c:pt>
                <c:pt idx="4" formatCode="#,##0.0">
                  <c:v>12238890</c:v>
                </c:pt>
                <c:pt idx="5" formatCode="#,##0.0">
                  <c:v>0</c:v>
                </c:pt>
                <c:pt idx="6" formatCode="#,##0.0">
                  <c:v>10188890</c:v>
                </c:pt>
                <c:pt idx="7" formatCode="#,##0.0">
                  <c:v>10188890</c:v>
                </c:pt>
                <c:pt idx="8" formatCode="#,##0.0">
                  <c:v>10938890</c:v>
                </c:pt>
                <c:pt idx="9" formatCode="#,##0.0">
                  <c:v>8988890</c:v>
                </c:pt>
                <c:pt idx="10" formatCode="#,##0.0">
                  <c:v>0</c:v>
                </c:pt>
                <c:pt idx="11" formatCode="#,##0.0">
                  <c:v>10938890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28608"/>
        <c:axId val="203838592"/>
      </c:barChart>
      <c:catAx>
        <c:axId val="203828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3838592"/>
        <c:crosses val="autoZero"/>
        <c:auto val="1"/>
        <c:lblAlgn val="ctr"/>
        <c:lblOffset val="100"/>
        <c:noMultiLvlLbl val="0"/>
      </c:catAx>
      <c:valAx>
        <c:axId val="203838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0382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P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2'!$C$39:$N$39</c:f>
              <c:numCache>
                <c:formatCode>#,##0.0</c:formatCode>
                <c:ptCount val="12"/>
                <c:pt idx="0">
                  <c:v>5569.6</c:v>
                </c:pt>
                <c:pt idx="1">
                  <c:v>2116.7999999999997</c:v>
                </c:pt>
                <c:pt idx="2">
                  <c:v>10447.200000000001</c:v>
                </c:pt>
                <c:pt idx="3">
                  <c:v>5894.4</c:v>
                </c:pt>
                <c:pt idx="4">
                  <c:v>5631</c:v>
                </c:pt>
                <c:pt idx="5">
                  <c:v>0</c:v>
                </c:pt>
                <c:pt idx="6">
                  <c:v>1847.4000000000005</c:v>
                </c:pt>
                <c:pt idx="7">
                  <c:v>474</c:v>
                </c:pt>
                <c:pt idx="8">
                  <c:v>4864.8</c:v>
                </c:pt>
                <c:pt idx="9">
                  <c:v>2268.7999999999997</c:v>
                </c:pt>
                <c:pt idx="10">
                  <c:v>0</c:v>
                </c:pt>
                <c:pt idx="11">
                  <c:v>3232.5999999999995</c:v>
                </c:pt>
              </c:numCache>
            </c:numRef>
          </c:val>
        </c:ser>
        <c:ser>
          <c:idx val="1"/>
          <c:order val="1"/>
          <c:tx>
            <c:strRef>
              <c:f>'Small P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2'!$C$40:$N$40</c:f>
              <c:numCache>
                <c:formatCode>#,##0.0</c:formatCode>
                <c:ptCount val="12"/>
                <c:pt idx="0">
                  <c:v>11212.8</c:v>
                </c:pt>
                <c:pt idx="1">
                  <c:v>3514.0000000000005</c:v>
                </c:pt>
                <c:pt idx="2">
                  <c:v>10955.8</c:v>
                </c:pt>
                <c:pt idx="3">
                  <c:v>10662.000000000002</c:v>
                </c:pt>
                <c:pt idx="4">
                  <c:v>4186.3999999999996</c:v>
                </c:pt>
                <c:pt idx="5">
                  <c:v>0</c:v>
                </c:pt>
                <c:pt idx="6">
                  <c:v>2376</c:v>
                </c:pt>
                <c:pt idx="7">
                  <c:v>611.20000000000027</c:v>
                </c:pt>
                <c:pt idx="8">
                  <c:v>4245</c:v>
                </c:pt>
                <c:pt idx="9">
                  <c:v>0</c:v>
                </c:pt>
                <c:pt idx="10">
                  <c:v>0</c:v>
                </c:pt>
                <c:pt idx="11">
                  <c:v>5305.8000000000011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96096"/>
        <c:axId val="205797632"/>
      </c:barChart>
      <c:catAx>
        <c:axId val="205796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5797632"/>
        <c:crosses val="autoZero"/>
        <c:auto val="1"/>
        <c:lblAlgn val="ctr"/>
        <c:lblOffset val="100"/>
        <c:noMultiLvlLbl val="0"/>
      </c:catAx>
      <c:valAx>
        <c:axId val="20579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0579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P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2'!$C$42:$N$42</c:f>
              <c:numCache>
                <c:formatCode>#,##0</c:formatCode>
                <c:ptCount val="12"/>
                <c:pt idx="0">
                  <c:v>120388890</c:v>
                </c:pt>
                <c:pt idx="1">
                  <c:v>102888890</c:v>
                </c:pt>
                <c:pt idx="2">
                  <c:v>108388890</c:v>
                </c:pt>
                <c:pt idx="3">
                  <c:v>119388890</c:v>
                </c:pt>
                <c:pt idx="4" formatCode="#,##0.0">
                  <c:v>123388890</c:v>
                </c:pt>
                <c:pt idx="5" formatCode="#,##0.0">
                  <c:v>0</c:v>
                </c:pt>
                <c:pt idx="6" formatCode="#,##0.0">
                  <c:v>102888890</c:v>
                </c:pt>
                <c:pt idx="7" formatCode="#,##0.0">
                  <c:v>102888890</c:v>
                </c:pt>
                <c:pt idx="8" formatCode="#,##0.0">
                  <c:v>110388890</c:v>
                </c:pt>
                <c:pt idx="9" formatCode="#,##0.0">
                  <c:v>90888890</c:v>
                </c:pt>
                <c:pt idx="10" formatCode="#,##0.0">
                  <c:v>0</c:v>
                </c:pt>
                <c:pt idx="11" formatCode="#,##0.0">
                  <c:v>110388890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22592"/>
        <c:axId val="205980032"/>
      </c:barChart>
      <c:catAx>
        <c:axId val="205822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5980032"/>
        <c:crosses val="autoZero"/>
        <c:auto val="1"/>
        <c:lblAlgn val="ctr"/>
        <c:lblOffset val="100"/>
        <c:noMultiLvlLbl val="0"/>
      </c:catAx>
      <c:valAx>
        <c:axId val="205980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0582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P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3'!$C$39:$N$39</c:f>
              <c:numCache>
                <c:formatCode>#,##0.0</c:formatCode>
                <c:ptCount val="12"/>
                <c:pt idx="0">
                  <c:v>57284.799999999996</c:v>
                </c:pt>
                <c:pt idx="1">
                  <c:v>21508.799999999999</c:v>
                </c:pt>
                <c:pt idx="2">
                  <c:v>105676.00000000001</c:v>
                </c:pt>
                <c:pt idx="3">
                  <c:v>57987.199999999997</c:v>
                </c:pt>
                <c:pt idx="4">
                  <c:v>53768.200000000004</c:v>
                </c:pt>
                <c:pt idx="5">
                  <c:v>0</c:v>
                </c:pt>
                <c:pt idx="6">
                  <c:v>14253.800000000003</c:v>
                </c:pt>
                <c:pt idx="7">
                  <c:v>3223.5999999999985</c:v>
                </c:pt>
                <c:pt idx="8">
                  <c:v>48904.800000000003</c:v>
                </c:pt>
                <c:pt idx="9">
                  <c:v>21156.199999999997</c:v>
                </c:pt>
                <c:pt idx="10">
                  <c:v>0</c:v>
                </c:pt>
                <c:pt idx="11">
                  <c:v>30597.200000000001</c:v>
                </c:pt>
              </c:numCache>
            </c:numRef>
          </c:val>
        </c:ser>
        <c:ser>
          <c:idx val="1"/>
          <c:order val="1"/>
          <c:tx>
            <c:strRef>
              <c:f>'Small P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3'!$C$40:$N$40</c:f>
              <c:numCache>
                <c:formatCode>#,##0.0</c:formatCode>
                <c:ptCount val="12"/>
                <c:pt idx="0">
                  <c:v>110556</c:v>
                </c:pt>
                <c:pt idx="1">
                  <c:v>36216.599999999991</c:v>
                </c:pt>
                <c:pt idx="2">
                  <c:v>106079.59999999999</c:v>
                </c:pt>
                <c:pt idx="3">
                  <c:v>107820.59999999998</c:v>
                </c:pt>
                <c:pt idx="4">
                  <c:v>42838.19999999999</c:v>
                </c:pt>
                <c:pt idx="5">
                  <c:v>0</c:v>
                </c:pt>
                <c:pt idx="6">
                  <c:v>28225.200000000004</c:v>
                </c:pt>
                <c:pt idx="7">
                  <c:v>5760.2000000000007</c:v>
                </c:pt>
                <c:pt idx="8">
                  <c:v>41729.199999999997</c:v>
                </c:pt>
                <c:pt idx="9">
                  <c:v>0</c:v>
                </c:pt>
                <c:pt idx="10">
                  <c:v>0</c:v>
                </c:pt>
                <c:pt idx="11">
                  <c:v>49298.8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33568"/>
        <c:axId val="205535104"/>
      </c:barChart>
      <c:catAx>
        <c:axId val="205533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5535104"/>
        <c:crosses val="autoZero"/>
        <c:auto val="1"/>
        <c:lblAlgn val="ctr"/>
        <c:lblOffset val="100"/>
        <c:noMultiLvlLbl val="0"/>
      </c:catAx>
      <c:valAx>
        <c:axId val="205535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0553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Startup!$B$42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Startup!$C$37:$N$37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Startup!$C$42:$N$42</c:f>
              <c:numCache>
                <c:formatCode>#,##0</c:formatCode>
                <c:ptCount val="12"/>
                <c:pt idx="0">
                  <c:v>40</c:v>
                </c:pt>
                <c:pt idx="1">
                  <c:v>28</c:v>
                </c:pt>
                <c:pt idx="2">
                  <c:v>40</c:v>
                </c:pt>
                <c:pt idx="3">
                  <c:v>40</c:v>
                </c:pt>
                <c:pt idx="4" formatCode="#,##0.0">
                  <c:v>40</c:v>
                </c:pt>
                <c:pt idx="5" formatCode="#,##0.0">
                  <c:v>28</c:v>
                </c:pt>
                <c:pt idx="6" formatCode="#,##0.0">
                  <c:v>28</c:v>
                </c:pt>
                <c:pt idx="7" formatCode="#,##0.0">
                  <c:v>28</c:v>
                </c:pt>
                <c:pt idx="8" formatCode="#,##0.0">
                  <c:v>40</c:v>
                </c:pt>
                <c:pt idx="9" formatCode="#,##0.0">
                  <c:v>28</c:v>
                </c:pt>
                <c:pt idx="10" formatCode="#,##0.0">
                  <c:v>40</c:v>
                </c:pt>
                <c:pt idx="11" formatCode="#,##0.0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24672"/>
        <c:axId val="198126208"/>
      </c:barChart>
      <c:catAx>
        <c:axId val="198124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98126208"/>
        <c:crosses val="autoZero"/>
        <c:auto val="1"/>
        <c:lblAlgn val="ctr"/>
        <c:lblOffset val="100"/>
        <c:noMultiLvlLbl val="0"/>
      </c:catAx>
      <c:valAx>
        <c:axId val="198126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9812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P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3'!$C$42:$N$42</c:f>
              <c:numCache>
                <c:formatCode>#,##0</c:formatCode>
                <c:ptCount val="12"/>
                <c:pt idx="0">
                  <c:v>1213888890</c:v>
                </c:pt>
                <c:pt idx="1">
                  <c:v>1038888890</c:v>
                </c:pt>
                <c:pt idx="2">
                  <c:v>1093888890</c:v>
                </c:pt>
                <c:pt idx="3">
                  <c:v>1203888890</c:v>
                </c:pt>
                <c:pt idx="4" formatCode="#,##0.0">
                  <c:v>1243888890</c:v>
                </c:pt>
                <c:pt idx="5" formatCode="#,##0.0">
                  <c:v>0</c:v>
                </c:pt>
                <c:pt idx="6" formatCode="#,##0.0">
                  <c:v>1038888890</c:v>
                </c:pt>
                <c:pt idx="7" formatCode="#,##0.0">
                  <c:v>1038888890</c:v>
                </c:pt>
                <c:pt idx="8" formatCode="#,##0.0">
                  <c:v>1113888890</c:v>
                </c:pt>
                <c:pt idx="9" formatCode="#,##0.0">
                  <c:v>918888890</c:v>
                </c:pt>
                <c:pt idx="10" formatCode="#,##0.0">
                  <c:v>0</c:v>
                </c:pt>
                <c:pt idx="11" formatCode="#,##0.0">
                  <c:v>1113888890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68256"/>
        <c:axId val="205578240"/>
      </c:barChart>
      <c:catAx>
        <c:axId val="205568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5578240"/>
        <c:crosses val="autoZero"/>
        <c:auto val="1"/>
        <c:lblAlgn val="ctr"/>
        <c:lblOffset val="100"/>
        <c:noMultiLvlLbl val="0"/>
      </c:catAx>
      <c:valAx>
        <c:axId val="20557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0556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D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D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1'!$C$39:$N$39</c:f>
              <c:numCache>
                <c:formatCode>#,##0.0</c:formatCode>
                <c:ptCount val="12"/>
                <c:pt idx="0">
                  <c:v>175.20000000000002</c:v>
                </c:pt>
                <c:pt idx="1">
                  <c:v>49.400000000000006</c:v>
                </c:pt>
                <c:pt idx="2">
                  <c:v>0</c:v>
                </c:pt>
                <c:pt idx="3">
                  <c:v>223</c:v>
                </c:pt>
                <c:pt idx="4">
                  <c:v>0</c:v>
                </c:pt>
                <c:pt idx="5">
                  <c:v>0</c:v>
                </c:pt>
                <c:pt idx="6">
                  <c:v>267.2</c:v>
                </c:pt>
                <c:pt idx="7">
                  <c:v>49.199999999999996</c:v>
                </c:pt>
                <c:pt idx="8">
                  <c:v>225.4</c:v>
                </c:pt>
                <c:pt idx="9">
                  <c:v>0</c:v>
                </c:pt>
                <c:pt idx="10">
                  <c:v>0</c:v>
                </c:pt>
                <c:pt idx="11">
                  <c:v>248.2</c:v>
                </c:pt>
              </c:numCache>
            </c:numRef>
          </c:val>
        </c:ser>
        <c:ser>
          <c:idx val="1"/>
          <c:order val="1"/>
          <c:tx>
            <c:strRef>
              <c:f>'Std D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D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1'!$C$40:$N$40</c:f>
              <c:numCache>
                <c:formatCode>#,##0.0</c:formatCode>
                <c:ptCount val="12"/>
                <c:pt idx="0">
                  <c:v>186.39999999999995</c:v>
                </c:pt>
                <c:pt idx="1">
                  <c:v>115.00000000000003</c:v>
                </c:pt>
                <c:pt idx="2">
                  <c:v>0</c:v>
                </c:pt>
                <c:pt idx="3">
                  <c:v>196.79999999999995</c:v>
                </c:pt>
                <c:pt idx="4">
                  <c:v>0</c:v>
                </c:pt>
                <c:pt idx="5">
                  <c:v>0</c:v>
                </c:pt>
                <c:pt idx="6">
                  <c:v>335.8</c:v>
                </c:pt>
                <c:pt idx="7">
                  <c:v>79.000000000000028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302.60000000000002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08800"/>
        <c:axId val="206914688"/>
      </c:barChart>
      <c:catAx>
        <c:axId val="206908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914688"/>
        <c:crosses val="autoZero"/>
        <c:auto val="1"/>
        <c:lblAlgn val="ctr"/>
        <c:lblOffset val="100"/>
        <c:noMultiLvlLbl val="0"/>
      </c:catAx>
      <c:valAx>
        <c:axId val="206914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0690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D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D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1'!$C$42:$N$42</c:f>
              <c:numCache>
                <c:formatCode>#,##0</c:formatCode>
                <c:ptCount val="12"/>
                <c:pt idx="0">
                  <c:v>2224454</c:v>
                </c:pt>
                <c:pt idx="1">
                  <c:v>1798584</c:v>
                </c:pt>
                <c:pt idx="2">
                  <c:v>0</c:v>
                </c:pt>
                <c:pt idx="3">
                  <c:v>1740659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1762584</c:v>
                </c:pt>
                <c:pt idx="7" formatCode="#,##0.0">
                  <c:v>1762584</c:v>
                </c:pt>
                <c:pt idx="8" formatCode="#,##0.0">
                  <c:v>2079785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1763995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27360"/>
        <c:axId val="206928896"/>
      </c:barChart>
      <c:catAx>
        <c:axId val="206927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928896"/>
        <c:crosses val="autoZero"/>
        <c:auto val="1"/>
        <c:lblAlgn val="ctr"/>
        <c:lblOffset val="100"/>
        <c:noMultiLvlLbl val="0"/>
      </c:catAx>
      <c:valAx>
        <c:axId val="206928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0692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D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D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2'!$C$39:$N$39</c:f>
              <c:numCache>
                <c:formatCode>#,##0.0</c:formatCode>
                <c:ptCount val="12"/>
                <c:pt idx="0">
                  <c:v>1061</c:v>
                </c:pt>
                <c:pt idx="1">
                  <c:v>424.00000000000006</c:v>
                </c:pt>
                <c:pt idx="2">
                  <c:v>0</c:v>
                </c:pt>
                <c:pt idx="3">
                  <c:v>1086.4000000000001</c:v>
                </c:pt>
                <c:pt idx="4">
                  <c:v>0</c:v>
                </c:pt>
                <c:pt idx="5">
                  <c:v>0</c:v>
                </c:pt>
                <c:pt idx="6">
                  <c:v>635</c:v>
                </c:pt>
                <c:pt idx="7">
                  <c:v>141</c:v>
                </c:pt>
                <c:pt idx="8">
                  <c:v>877.8</c:v>
                </c:pt>
                <c:pt idx="9">
                  <c:v>0</c:v>
                </c:pt>
                <c:pt idx="10">
                  <c:v>0</c:v>
                </c:pt>
                <c:pt idx="11">
                  <c:v>906.2</c:v>
                </c:pt>
              </c:numCache>
            </c:numRef>
          </c:val>
        </c:ser>
        <c:ser>
          <c:idx val="1"/>
          <c:order val="1"/>
          <c:tx>
            <c:strRef>
              <c:f>'Std D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D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2'!$C$40:$N$40</c:f>
              <c:numCache>
                <c:formatCode>#,##0.0</c:formatCode>
                <c:ptCount val="12"/>
                <c:pt idx="0">
                  <c:v>1650.6000000000001</c:v>
                </c:pt>
                <c:pt idx="1">
                  <c:v>1030.8</c:v>
                </c:pt>
                <c:pt idx="2">
                  <c:v>0</c:v>
                </c:pt>
                <c:pt idx="3">
                  <c:v>1711.4</c:v>
                </c:pt>
                <c:pt idx="4">
                  <c:v>0</c:v>
                </c:pt>
                <c:pt idx="5">
                  <c:v>0</c:v>
                </c:pt>
                <c:pt idx="6">
                  <c:v>891</c:v>
                </c:pt>
                <c:pt idx="7">
                  <c:v>354.2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1111.2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216"/>
        <c:axId val="1323008"/>
      </c:barChart>
      <c:catAx>
        <c:axId val="1321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23008"/>
        <c:crosses val="autoZero"/>
        <c:auto val="1"/>
        <c:lblAlgn val="ctr"/>
        <c:lblOffset val="100"/>
        <c:noMultiLvlLbl val="0"/>
      </c:catAx>
      <c:valAx>
        <c:axId val="1323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32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D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D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2'!$C$42:$N$42</c:f>
              <c:numCache>
                <c:formatCode>#,##0</c:formatCode>
                <c:ptCount val="12"/>
                <c:pt idx="0">
                  <c:v>23146001</c:v>
                </c:pt>
                <c:pt idx="1">
                  <c:v>18939843</c:v>
                </c:pt>
                <c:pt idx="2">
                  <c:v>0</c:v>
                </c:pt>
                <c:pt idx="3">
                  <c:v>18307918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18539843</c:v>
                </c:pt>
                <c:pt idx="7" formatCode="#,##0.0">
                  <c:v>18539843</c:v>
                </c:pt>
                <c:pt idx="8" formatCode="#,##0.0">
                  <c:v>21699332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18541254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68032"/>
        <c:axId val="205469568"/>
      </c:barChart>
      <c:catAx>
        <c:axId val="205468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5469568"/>
        <c:crosses val="autoZero"/>
        <c:auto val="1"/>
        <c:lblAlgn val="ctr"/>
        <c:lblOffset val="100"/>
        <c:noMultiLvlLbl val="0"/>
      </c:catAx>
      <c:valAx>
        <c:axId val="205469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0546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D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D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3'!$C$39:$N$39</c:f>
              <c:numCache>
                <c:formatCode>#,##0.0</c:formatCode>
                <c:ptCount val="12"/>
                <c:pt idx="0">
                  <c:v>10287.6</c:v>
                </c:pt>
                <c:pt idx="1">
                  <c:v>4272</c:v>
                </c:pt>
                <c:pt idx="2">
                  <c:v>0</c:v>
                </c:pt>
                <c:pt idx="3">
                  <c:v>9813.2000000000007</c:v>
                </c:pt>
                <c:pt idx="4">
                  <c:v>0</c:v>
                </c:pt>
                <c:pt idx="5">
                  <c:v>0</c:v>
                </c:pt>
                <c:pt idx="6">
                  <c:v>2529.4</c:v>
                </c:pt>
                <c:pt idx="7">
                  <c:v>865.2</c:v>
                </c:pt>
                <c:pt idx="8">
                  <c:v>6532.4000000000005</c:v>
                </c:pt>
                <c:pt idx="9">
                  <c:v>0</c:v>
                </c:pt>
                <c:pt idx="10">
                  <c:v>0</c:v>
                </c:pt>
                <c:pt idx="11">
                  <c:v>6302.6</c:v>
                </c:pt>
              </c:numCache>
            </c:numRef>
          </c:val>
        </c:ser>
        <c:ser>
          <c:idx val="1"/>
          <c:order val="1"/>
          <c:tx>
            <c:strRef>
              <c:f>'Std D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D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3'!$C$40:$N$40</c:f>
              <c:numCache>
                <c:formatCode>#,##0.0</c:formatCode>
                <c:ptCount val="12"/>
                <c:pt idx="0">
                  <c:v>16018.8</c:v>
                </c:pt>
                <c:pt idx="1">
                  <c:v>10307.4</c:v>
                </c:pt>
                <c:pt idx="2">
                  <c:v>0</c:v>
                </c:pt>
                <c:pt idx="3">
                  <c:v>17119.2</c:v>
                </c:pt>
                <c:pt idx="4">
                  <c:v>0</c:v>
                </c:pt>
                <c:pt idx="5">
                  <c:v>0</c:v>
                </c:pt>
                <c:pt idx="6">
                  <c:v>5768.4</c:v>
                </c:pt>
                <c:pt idx="7">
                  <c:v>1304.8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8136.6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64928"/>
        <c:axId val="207166464"/>
      </c:barChart>
      <c:catAx>
        <c:axId val="207164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166464"/>
        <c:crosses val="autoZero"/>
        <c:auto val="1"/>
        <c:lblAlgn val="ctr"/>
        <c:lblOffset val="100"/>
        <c:noMultiLvlLbl val="0"/>
      </c:catAx>
      <c:valAx>
        <c:axId val="207166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0716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D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D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3'!$C$42:$N$42</c:f>
              <c:numCache>
                <c:formatCode>#,##0</c:formatCode>
                <c:ptCount val="12"/>
                <c:pt idx="0">
                  <c:v>240523562</c:v>
                </c:pt>
                <c:pt idx="1">
                  <c:v>198074556</c:v>
                </c:pt>
                <c:pt idx="2">
                  <c:v>0</c:v>
                </c:pt>
                <c:pt idx="3">
                  <c:v>192142631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194474556</c:v>
                </c:pt>
                <c:pt idx="7" formatCode="#,##0.0">
                  <c:v>194474556</c:v>
                </c:pt>
                <c:pt idx="8" formatCode="#,##0.0">
                  <c:v>226056893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194475967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87328"/>
        <c:axId val="207193216"/>
      </c:barChart>
      <c:catAx>
        <c:axId val="207187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193216"/>
        <c:crosses val="autoZero"/>
        <c:auto val="1"/>
        <c:lblAlgn val="ctr"/>
        <c:lblOffset val="100"/>
        <c:noMultiLvlLbl val="0"/>
      </c:catAx>
      <c:valAx>
        <c:axId val="207193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0718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P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1'!$C$39:$N$39</c:f>
              <c:numCache>
                <c:formatCode>#,##0.0</c:formatCode>
                <c:ptCount val="12"/>
                <c:pt idx="0">
                  <c:v>4087.8</c:v>
                </c:pt>
                <c:pt idx="1">
                  <c:v>1039.8</c:v>
                </c:pt>
                <c:pt idx="2">
                  <c:v>0</c:v>
                </c:pt>
                <c:pt idx="3">
                  <c:v>2342.4</c:v>
                </c:pt>
                <c:pt idx="4">
                  <c:v>0</c:v>
                </c:pt>
                <c:pt idx="5">
                  <c:v>0</c:v>
                </c:pt>
                <c:pt idx="6">
                  <c:v>1106.3999999999999</c:v>
                </c:pt>
                <c:pt idx="7">
                  <c:v>443.2</c:v>
                </c:pt>
                <c:pt idx="8">
                  <c:v>1094.2</c:v>
                </c:pt>
                <c:pt idx="9">
                  <c:v>0</c:v>
                </c:pt>
                <c:pt idx="10">
                  <c:v>0</c:v>
                </c:pt>
                <c:pt idx="11">
                  <c:v>2060.8000000000002</c:v>
                </c:pt>
              </c:numCache>
            </c:numRef>
          </c:val>
        </c:ser>
        <c:ser>
          <c:idx val="1"/>
          <c:order val="1"/>
          <c:tx>
            <c:strRef>
              <c:f>'Std P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1'!$C$40:$N$40</c:f>
              <c:numCache>
                <c:formatCode>#,##0.0</c:formatCode>
                <c:ptCount val="12"/>
                <c:pt idx="0">
                  <c:v>3653.3999999999996</c:v>
                </c:pt>
                <c:pt idx="1">
                  <c:v>1974.6000000000001</c:v>
                </c:pt>
                <c:pt idx="2">
                  <c:v>0</c:v>
                </c:pt>
                <c:pt idx="3">
                  <c:v>5512</c:v>
                </c:pt>
                <c:pt idx="4">
                  <c:v>0</c:v>
                </c:pt>
                <c:pt idx="5">
                  <c:v>0</c:v>
                </c:pt>
                <c:pt idx="6">
                  <c:v>1701</c:v>
                </c:pt>
                <c:pt idx="7">
                  <c:v>358.00000000000006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2111.3999999999996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16672"/>
        <c:axId val="209918208"/>
      </c:barChart>
      <c:catAx>
        <c:axId val="209916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918208"/>
        <c:crosses val="autoZero"/>
        <c:auto val="1"/>
        <c:lblAlgn val="ctr"/>
        <c:lblOffset val="100"/>
        <c:noMultiLvlLbl val="0"/>
      </c:catAx>
      <c:valAx>
        <c:axId val="209918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0991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P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1'!$C$42:$N$42</c:f>
              <c:numCache>
                <c:formatCode>#,##0</c:formatCode>
                <c:ptCount val="12"/>
                <c:pt idx="0">
                  <c:v>84013392</c:v>
                </c:pt>
                <c:pt idx="1">
                  <c:v>73425647</c:v>
                </c:pt>
                <c:pt idx="2">
                  <c:v>0</c:v>
                </c:pt>
                <c:pt idx="3">
                  <c:v>79509317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72855111</c:v>
                </c:pt>
                <c:pt idx="7" formatCode="#,##0.0">
                  <c:v>72799215</c:v>
                </c:pt>
                <c:pt idx="8" formatCode="#,##0.0">
                  <c:v>76301917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73117617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47264"/>
        <c:axId val="209949056"/>
      </c:barChart>
      <c:catAx>
        <c:axId val="209947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949056"/>
        <c:crosses val="autoZero"/>
        <c:auto val="1"/>
        <c:lblAlgn val="ctr"/>
        <c:lblOffset val="100"/>
        <c:noMultiLvlLbl val="0"/>
      </c:catAx>
      <c:valAx>
        <c:axId val="209949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0994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P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2'!$C$39:$N$39</c:f>
              <c:numCache>
                <c:formatCode>#,##0.0</c:formatCode>
                <c:ptCount val="12"/>
                <c:pt idx="0">
                  <c:v>41363</c:v>
                </c:pt>
                <c:pt idx="1">
                  <c:v>9874</c:v>
                </c:pt>
                <c:pt idx="2">
                  <c:v>0</c:v>
                </c:pt>
                <c:pt idx="3">
                  <c:v>22709.200000000004</c:v>
                </c:pt>
                <c:pt idx="4">
                  <c:v>0</c:v>
                </c:pt>
                <c:pt idx="5">
                  <c:v>0</c:v>
                </c:pt>
                <c:pt idx="6">
                  <c:v>7152.2</c:v>
                </c:pt>
                <c:pt idx="7">
                  <c:v>2240.1999999999998</c:v>
                </c:pt>
                <c:pt idx="8">
                  <c:v>8951</c:v>
                </c:pt>
                <c:pt idx="9">
                  <c:v>0</c:v>
                </c:pt>
                <c:pt idx="10">
                  <c:v>0</c:v>
                </c:pt>
                <c:pt idx="11">
                  <c:v>15445</c:v>
                </c:pt>
              </c:numCache>
            </c:numRef>
          </c:val>
        </c:ser>
        <c:ser>
          <c:idx val="1"/>
          <c:order val="1"/>
          <c:tx>
            <c:strRef>
              <c:f>'Std P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2'!$C$40:$N$40</c:f>
              <c:numCache>
                <c:formatCode>#,##0.0</c:formatCode>
                <c:ptCount val="12"/>
                <c:pt idx="0">
                  <c:v>35875.600000000006</c:v>
                </c:pt>
                <c:pt idx="1">
                  <c:v>20098.000000000004</c:v>
                </c:pt>
                <c:pt idx="2">
                  <c:v>0</c:v>
                </c:pt>
                <c:pt idx="3">
                  <c:v>56533.19999999999</c:v>
                </c:pt>
                <c:pt idx="4">
                  <c:v>0</c:v>
                </c:pt>
                <c:pt idx="5">
                  <c:v>0</c:v>
                </c:pt>
                <c:pt idx="6">
                  <c:v>14659.599999999999</c:v>
                </c:pt>
                <c:pt idx="7">
                  <c:v>2659.0000000000005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20350.199999999997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96256"/>
        <c:axId val="211297792"/>
      </c:barChart>
      <c:catAx>
        <c:axId val="211296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297792"/>
        <c:crosses val="autoZero"/>
        <c:auto val="1"/>
        <c:lblAlgn val="ctr"/>
        <c:lblOffset val="100"/>
        <c:noMultiLvlLbl val="0"/>
      </c:catAx>
      <c:valAx>
        <c:axId val="211297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1129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M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M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1'!$C$39:$N$39</c:f>
              <c:numCache>
                <c:formatCode>#,##0.0</c:formatCode>
                <c:ptCount val="12"/>
                <c:pt idx="0">
                  <c:v>397.59999999999997</c:v>
                </c:pt>
                <c:pt idx="1">
                  <c:v>105.79999999999995</c:v>
                </c:pt>
                <c:pt idx="2">
                  <c:v>272.39999999999998</c:v>
                </c:pt>
                <c:pt idx="3">
                  <c:v>454.99999999999994</c:v>
                </c:pt>
                <c:pt idx="4">
                  <c:v>572</c:v>
                </c:pt>
                <c:pt idx="5">
                  <c:v>188.59999999999997</c:v>
                </c:pt>
                <c:pt idx="6">
                  <c:v>281.8</c:v>
                </c:pt>
                <c:pt idx="7">
                  <c:v>32.199999999999996</c:v>
                </c:pt>
                <c:pt idx="8">
                  <c:v>673</c:v>
                </c:pt>
                <c:pt idx="9">
                  <c:v>296</c:v>
                </c:pt>
                <c:pt idx="10">
                  <c:v>299.60000000000002</c:v>
                </c:pt>
                <c:pt idx="11">
                  <c:v>283.2</c:v>
                </c:pt>
              </c:numCache>
            </c:numRef>
          </c:val>
        </c:ser>
        <c:ser>
          <c:idx val="1"/>
          <c:order val="1"/>
          <c:tx>
            <c:strRef>
              <c:f>'Small M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M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1'!$C$40:$N$40</c:f>
              <c:numCache>
                <c:formatCode>#,##0.0</c:formatCode>
                <c:ptCount val="12"/>
                <c:pt idx="0">
                  <c:v>593</c:v>
                </c:pt>
                <c:pt idx="1">
                  <c:v>214.60000000000002</c:v>
                </c:pt>
                <c:pt idx="2">
                  <c:v>490.20000000000005</c:v>
                </c:pt>
                <c:pt idx="3">
                  <c:v>530.79999999999995</c:v>
                </c:pt>
                <c:pt idx="4">
                  <c:v>300.39999999999998</c:v>
                </c:pt>
                <c:pt idx="5">
                  <c:v>195</c:v>
                </c:pt>
                <c:pt idx="6">
                  <c:v>293.40000000000003</c:v>
                </c:pt>
                <c:pt idx="7">
                  <c:v>82.600000000000023</c:v>
                </c:pt>
                <c:pt idx="8">
                  <c:v>638</c:v>
                </c:pt>
                <c:pt idx="9">
                  <c:v>805.8</c:v>
                </c:pt>
                <c:pt idx="10">
                  <c:v>227</c:v>
                </c:pt>
                <c:pt idx="11">
                  <c:v>259.2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93152"/>
        <c:axId val="202194944"/>
      </c:barChart>
      <c:catAx>
        <c:axId val="202193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194944"/>
        <c:crosses val="autoZero"/>
        <c:auto val="1"/>
        <c:lblAlgn val="ctr"/>
        <c:lblOffset val="100"/>
        <c:noMultiLvlLbl val="0"/>
      </c:catAx>
      <c:valAx>
        <c:axId val="202194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20219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P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2'!$C$42:$N$42</c:f>
              <c:numCache>
                <c:formatCode>#,##0</c:formatCode>
                <c:ptCount val="12"/>
                <c:pt idx="0">
                  <c:v>850871452</c:v>
                </c:pt>
                <c:pt idx="1">
                  <c:v>744648167</c:v>
                </c:pt>
                <c:pt idx="2">
                  <c:v>0</c:v>
                </c:pt>
                <c:pt idx="3">
                  <c:v>805530906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738942711</c:v>
                </c:pt>
                <c:pt idx="7" formatCode="#,##0.0">
                  <c:v>738370647</c:v>
                </c:pt>
                <c:pt idx="8" formatCode="#,##0.0">
                  <c:v>773410117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741567117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22752"/>
        <c:axId val="211324288"/>
      </c:barChart>
      <c:catAx>
        <c:axId val="211322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324288"/>
        <c:crosses val="autoZero"/>
        <c:auto val="1"/>
        <c:lblAlgn val="ctr"/>
        <c:lblOffset val="100"/>
        <c:noMultiLvlLbl val="0"/>
      </c:catAx>
      <c:valAx>
        <c:axId val="21132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1132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P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3'!$C$39:$N$39</c:f>
              <c:numCache>
                <c:formatCode>#,##0.0</c:formatCode>
                <c:ptCount val="12"/>
                <c:pt idx="0">
                  <c:v>413502.8</c:v>
                </c:pt>
                <c:pt idx="1">
                  <c:v>104556</c:v>
                </c:pt>
                <c:pt idx="2">
                  <c:v>0</c:v>
                </c:pt>
                <c:pt idx="3">
                  <c:v>226264.39999999997</c:v>
                </c:pt>
                <c:pt idx="4">
                  <c:v>0</c:v>
                </c:pt>
                <c:pt idx="5">
                  <c:v>0</c:v>
                </c:pt>
                <c:pt idx="6">
                  <c:v>67879</c:v>
                </c:pt>
                <c:pt idx="7">
                  <c:v>21549.800000000003</c:v>
                </c:pt>
                <c:pt idx="8">
                  <c:v>85878.599999999991</c:v>
                </c:pt>
                <c:pt idx="9">
                  <c:v>0</c:v>
                </c:pt>
                <c:pt idx="10">
                  <c:v>0</c:v>
                </c:pt>
                <c:pt idx="11">
                  <c:v>152401.79999999999</c:v>
                </c:pt>
              </c:numCache>
            </c:numRef>
          </c:val>
        </c:ser>
        <c:ser>
          <c:idx val="1"/>
          <c:order val="1"/>
          <c:tx>
            <c:strRef>
              <c:f>'Std P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3'!$C$40:$N$40</c:f>
              <c:numCache>
                <c:formatCode>#,##0.0</c:formatCode>
                <c:ptCount val="12"/>
                <c:pt idx="0">
                  <c:v>357711.19999999995</c:v>
                </c:pt>
                <c:pt idx="1">
                  <c:v>197308.40000000002</c:v>
                </c:pt>
                <c:pt idx="2">
                  <c:v>0</c:v>
                </c:pt>
                <c:pt idx="3">
                  <c:v>553910.40000000014</c:v>
                </c:pt>
                <c:pt idx="4">
                  <c:v>0</c:v>
                </c:pt>
                <c:pt idx="5">
                  <c:v>0</c:v>
                </c:pt>
                <c:pt idx="6">
                  <c:v>149305.4</c:v>
                </c:pt>
                <c:pt idx="7">
                  <c:v>27455.799999999996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206444.80000000002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56192"/>
        <c:axId val="206857728"/>
      </c:barChart>
      <c:catAx>
        <c:axId val="206856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857728"/>
        <c:crosses val="autoZero"/>
        <c:auto val="1"/>
        <c:lblAlgn val="ctr"/>
        <c:lblOffset val="100"/>
        <c:noMultiLvlLbl val="0"/>
      </c:catAx>
      <c:valAx>
        <c:axId val="206857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0685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P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3'!$C$42:$N$42</c:f>
              <c:numCache>
                <c:formatCode>#,##0</c:formatCode>
                <c:ptCount val="12"/>
                <c:pt idx="0">
                  <c:v>8612705452</c:v>
                </c:pt>
                <c:pt idx="1">
                  <c:v>7557405367</c:v>
                </c:pt>
                <c:pt idx="2">
                  <c:v>0</c:v>
                </c:pt>
                <c:pt idx="3">
                  <c:v>8204328906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7493418711</c:v>
                </c:pt>
                <c:pt idx="7" formatCode="#,##0.0">
                  <c:v>7487632167</c:v>
                </c:pt>
                <c:pt idx="8" formatCode="#,##0.0">
                  <c:v>7838092117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7519662117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90880"/>
        <c:axId val="206892416"/>
      </c:barChart>
      <c:catAx>
        <c:axId val="2068908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892416"/>
        <c:crosses val="autoZero"/>
        <c:auto val="1"/>
        <c:lblAlgn val="ctr"/>
        <c:lblOffset val="100"/>
        <c:noMultiLvlLbl val="0"/>
      </c:catAx>
      <c:valAx>
        <c:axId val="206892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0689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'Large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'Large 1'!$C$37:$N$37</c:f>
              <c:strCache>
                <c:ptCount val="12"/>
                <c:pt idx="0">
                  <c:v>Newtonsoft (DSL model)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1'!$C$39:$N$39</c:f>
              <c:numCache>
                <c:formatCode>#,##0.0</c:formatCode>
                <c:ptCount val="12"/>
                <c:pt idx="0">
                  <c:v>2097.1999999999998</c:v>
                </c:pt>
                <c:pt idx="1">
                  <c:v>716.8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837.80000000000007</c:v>
                </c:pt>
                <c:pt idx="7">
                  <c:v>223.8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'Large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'Large 1'!$C$37:$N$37</c:f>
              <c:strCache>
                <c:ptCount val="12"/>
                <c:pt idx="0">
                  <c:v>Newtonsoft (DSL model)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1'!$C$40:$N$40</c:f>
              <c:numCache>
                <c:formatCode>#,##0.0</c:formatCode>
                <c:ptCount val="12"/>
                <c:pt idx="0">
                  <c:v>2896.6</c:v>
                </c:pt>
                <c:pt idx="1">
                  <c:v>1884.4000000000003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1587.1999999999998</c:v>
                </c:pt>
                <c:pt idx="7">
                  <c:v>222.79999999999995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72768"/>
        <c:axId val="212165376"/>
      </c:barChart>
      <c:catAx>
        <c:axId val="211872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165376"/>
        <c:crosses val="autoZero"/>
        <c:auto val="1"/>
        <c:lblAlgn val="ctr"/>
        <c:lblOffset val="100"/>
        <c:noMultiLvlLbl val="0"/>
      </c:catAx>
      <c:valAx>
        <c:axId val="212165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1187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'Large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'Large 1'!$C$37:$N$37</c:f>
              <c:strCache>
                <c:ptCount val="12"/>
                <c:pt idx="0">
                  <c:v>Newtonsoft (DSL model)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1'!$C$42:$N$42</c:f>
              <c:numCache>
                <c:formatCode>#,##0</c:formatCode>
                <c:ptCount val="12"/>
                <c:pt idx="0">
                  <c:v>53427744</c:v>
                </c:pt>
                <c:pt idx="1">
                  <c:v>49354268</c:v>
                </c:pt>
                <c:pt idx="2">
                  <c:v>0</c:v>
                </c:pt>
                <c:pt idx="3">
                  <c:v>0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48172180</c:v>
                </c:pt>
                <c:pt idx="7" formatCode="#,##0.0">
                  <c:v>48172180</c:v>
                </c:pt>
                <c:pt idx="8" formatCode="#,##0.0">
                  <c:v>0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86240"/>
        <c:axId val="212187776"/>
      </c:barChart>
      <c:catAx>
        <c:axId val="212186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187776"/>
        <c:crosses val="autoZero"/>
        <c:auto val="1"/>
        <c:lblAlgn val="ctr"/>
        <c:lblOffset val="100"/>
        <c:noMultiLvlLbl val="0"/>
      </c:catAx>
      <c:valAx>
        <c:axId val="212187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1218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'Large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'Large 2'!$C$37:$N$37</c:f>
              <c:strCache>
                <c:ptCount val="12"/>
                <c:pt idx="0">
                  <c:v>Newtonsoft (DSL model)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2'!$C$39:$N$39</c:f>
              <c:numCache>
                <c:formatCode>#,##0.0</c:formatCode>
                <c:ptCount val="12"/>
                <c:pt idx="0">
                  <c:v>230327.80000000002</c:v>
                </c:pt>
                <c:pt idx="1">
                  <c:v>81604.600000000006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57063.6</c:v>
                </c:pt>
                <c:pt idx="7">
                  <c:v>21559.800000000003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'Large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'Large 2'!$C$37:$N$37</c:f>
              <c:strCache>
                <c:ptCount val="12"/>
                <c:pt idx="0">
                  <c:v>Newtonsoft (DSL model)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2'!$C$40:$N$40</c:f>
              <c:numCache>
                <c:formatCode>#,##0.0</c:formatCode>
                <c:ptCount val="12"/>
                <c:pt idx="0">
                  <c:v>273175.99999999988</c:v>
                </c:pt>
                <c:pt idx="1">
                  <c:v>194030.80000000002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102710.6</c:v>
                </c:pt>
                <c:pt idx="7">
                  <c:v>21582.799999999996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42656"/>
        <c:axId val="208744448"/>
      </c:barChart>
      <c:catAx>
        <c:axId val="208742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744448"/>
        <c:crosses val="autoZero"/>
        <c:auto val="1"/>
        <c:lblAlgn val="ctr"/>
        <c:lblOffset val="100"/>
        <c:noMultiLvlLbl val="0"/>
      </c:catAx>
      <c:valAx>
        <c:axId val="208744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0874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'Large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'Large 2'!$C$37:$N$37</c:f>
              <c:strCache>
                <c:ptCount val="12"/>
                <c:pt idx="0">
                  <c:v>Newtonsoft (DSL model)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2'!$C$42:$N$42</c:f>
              <c:numCache>
                <c:formatCode>#,##0</c:formatCode>
                <c:ptCount val="12"/>
                <c:pt idx="0">
                  <c:v>9797315916</c:v>
                </c:pt>
                <c:pt idx="1">
                  <c:v>9490545095</c:v>
                </c:pt>
                <c:pt idx="2">
                  <c:v>0</c:v>
                </c:pt>
                <c:pt idx="3">
                  <c:v>0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9388310815</c:v>
                </c:pt>
                <c:pt idx="7" formatCode="#,##0.0">
                  <c:v>9388310815</c:v>
                </c:pt>
                <c:pt idx="8" formatCode="#,##0.0">
                  <c:v>0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77600"/>
        <c:axId val="208779136"/>
      </c:barChart>
      <c:catAx>
        <c:axId val="208777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779136"/>
        <c:crosses val="autoZero"/>
        <c:auto val="1"/>
        <c:lblAlgn val="ctr"/>
        <c:lblOffset val="100"/>
        <c:noMultiLvlLbl val="0"/>
      </c:catAx>
      <c:valAx>
        <c:axId val="208779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0877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M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M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1'!$C$42:$N$42</c:f>
              <c:numCache>
                <c:formatCode>#,##0</c:formatCode>
                <c:ptCount val="12"/>
                <c:pt idx="0">
                  <c:v>4777780</c:v>
                </c:pt>
                <c:pt idx="1">
                  <c:v>4777768</c:v>
                </c:pt>
                <c:pt idx="2">
                  <c:v>4777780</c:v>
                </c:pt>
                <c:pt idx="3">
                  <c:v>4777780</c:v>
                </c:pt>
                <c:pt idx="4" formatCode="#,##0.0">
                  <c:v>4777780</c:v>
                </c:pt>
                <c:pt idx="5" formatCode="#,##0.0">
                  <c:v>4777768</c:v>
                </c:pt>
                <c:pt idx="6" formatCode="#,##0.0">
                  <c:v>4777768</c:v>
                </c:pt>
                <c:pt idx="7" formatCode="#,##0.0">
                  <c:v>4777768</c:v>
                </c:pt>
                <c:pt idx="8" formatCode="#,##0.0">
                  <c:v>4777780</c:v>
                </c:pt>
                <c:pt idx="9" formatCode="#,##0.0">
                  <c:v>4777768</c:v>
                </c:pt>
                <c:pt idx="10" formatCode="#,##0.0">
                  <c:v>4777780</c:v>
                </c:pt>
                <c:pt idx="11" formatCode="#,##0.0">
                  <c:v>4777780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19904"/>
        <c:axId val="202221440"/>
      </c:barChart>
      <c:catAx>
        <c:axId val="202219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221440"/>
        <c:crosses val="autoZero"/>
        <c:auto val="1"/>
        <c:lblAlgn val="ctr"/>
        <c:lblOffset val="100"/>
        <c:noMultiLvlLbl val="0"/>
      </c:catAx>
      <c:valAx>
        <c:axId val="202221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0221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M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M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2'!$C$39:$N$39</c:f>
              <c:numCache>
                <c:formatCode>#,##0.0</c:formatCode>
                <c:ptCount val="12"/>
                <c:pt idx="0">
                  <c:v>3071</c:v>
                </c:pt>
                <c:pt idx="1">
                  <c:v>1024</c:v>
                </c:pt>
                <c:pt idx="2">
                  <c:v>2820.8</c:v>
                </c:pt>
                <c:pt idx="3">
                  <c:v>3729.2000000000003</c:v>
                </c:pt>
                <c:pt idx="4">
                  <c:v>4371.8</c:v>
                </c:pt>
                <c:pt idx="5">
                  <c:v>1526.6000000000001</c:v>
                </c:pt>
                <c:pt idx="6">
                  <c:v>688.6</c:v>
                </c:pt>
                <c:pt idx="7">
                  <c:v>121</c:v>
                </c:pt>
                <c:pt idx="8">
                  <c:v>3871.8</c:v>
                </c:pt>
                <c:pt idx="9">
                  <c:v>854.6</c:v>
                </c:pt>
                <c:pt idx="10">
                  <c:v>720</c:v>
                </c:pt>
                <c:pt idx="11">
                  <c:v>1237.4000000000001</c:v>
                </c:pt>
              </c:numCache>
            </c:numRef>
          </c:val>
        </c:ser>
        <c:ser>
          <c:idx val="1"/>
          <c:order val="1"/>
          <c:tx>
            <c:strRef>
              <c:f>'Small M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M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2'!$C$40:$N$40</c:f>
              <c:numCache>
                <c:formatCode>#,##0.0</c:formatCode>
                <c:ptCount val="12"/>
                <c:pt idx="0">
                  <c:v>5959.2</c:v>
                </c:pt>
                <c:pt idx="1">
                  <c:v>2107.0000000000005</c:v>
                </c:pt>
                <c:pt idx="2">
                  <c:v>4648.3999999999996</c:v>
                </c:pt>
                <c:pt idx="3">
                  <c:v>5236.1999999999989</c:v>
                </c:pt>
                <c:pt idx="4">
                  <c:v>2426.1999999999998</c:v>
                </c:pt>
                <c:pt idx="5">
                  <c:v>1848.9999999999998</c:v>
                </c:pt>
                <c:pt idx="6">
                  <c:v>889.40000000000009</c:v>
                </c:pt>
                <c:pt idx="7">
                  <c:v>262</c:v>
                </c:pt>
                <c:pt idx="8">
                  <c:v>3847.5999999999995</c:v>
                </c:pt>
                <c:pt idx="9">
                  <c:v>6036.4</c:v>
                </c:pt>
                <c:pt idx="10">
                  <c:v>944</c:v>
                </c:pt>
                <c:pt idx="11">
                  <c:v>1646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11168"/>
        <c:axId val="202312704"/>
      </c:barChart>
      <c:catAx>
        <c:axId val="202311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312704"/>
        <c:crosses val="autoZero"/>
        <c:auto val="1"/>
        <c:lblAlgn val="ctr"/>
        <c:lblOffset val="100"/>
        <c:noMultiLvlLbl val="0"/>
      </c:catAx>
      <c:valAx>
        <c:axId val="202312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20231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M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M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2'!$C$42:$N$42</c:f>
              <c:numCache>
                <c:formatCode>#,##0</c:formatCode>
                <c:ptCount val="12"/>
                <c:pt idx="0">
                  <c:v>49777780</c:v>
                </c:pt>
                <c:pt idx="1">
                  <c:v>49777768</c:v>
                </c:pt>
                <c:pt idx="2">
                  <c:v>49777780</c:v>
                </c:pt>
                <c:pt idx="3">
                  <c:v>49777780</c:v>
                </c:pt>
                <c:pt idx="4" formatCode="#,##0.0">
                  <c:v>49777780</c:v>
                </c:pt>
                <c:pt idx="5" formatCode="#,##0.0">
                  <c:v>49777768</c:v>
                </c:pt>
                <c:pt idx="6" formatCode="#,##0.0">
                  <c:v>49777768</c:v>
                </c:pt>
                <c:pt idx="7" formatCode="#,##0.0">
                  <c:v>49777768</c:v>
                </c:pt>
                <c:pt idx="8" formatCode="#,##0.0">
                  <c:v>49777780</c:v>
                </c:pt>
                <c:pt idx="9" formatCode="#,##0.0">
                  <c:v>49777768</c:v>
                </c:pt>
                <c:pt idx="10" formatCode="#,##0.0">
                  <c:v>49777780</c:v>
                </c:pt>
                <c:pt idx="11" formatCode="#,##0.0">
                  <c:v>49777780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33568"/>
        <c:axId val="202339456"/>
      </c:barChart>
      <c:catAx>
        <c:axId val="202333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339456"/>
        <c:crosses val="autoZero"/>
        <c:auto val="1"/>
        <c:lblAlgn val="ctr"/>
        <c:lblOffset val="100"/>
        <c:noMultiLvlLbl val="0"/>
      </c:catAx>
      <c:valAx>
        <c:axId val="202339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0233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M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M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3'!$C$39:$N$39</c:f>
              <c:numCache>
                <c:formatCode>#,##0.0</c:formatCode>
                <c:ptCount val="12"/>
                <c:pt idx="0">
                  <c:v>33366.600000000006</c:v>
                </c:pt>
                <c:pt idx="1">
                  <c:v>10401.000000000002</c:v>
                </c:pt>
                <c:pt idx="2">
                  <c:v>28315.399999999998</c:v>
                </c:pt>
                <c:pt idx="3">
                  <c:v>35489.399999999994</c:v>
                </c:pt>
                <c:pt idx="4">
                  <c:v>41126.399999999994</c:v>
                </c:pt>
                <c:pt idx="5">
                  <c:v>13462.2</c:v>
                </c:pt>
                <c:pt idx="6">
                  <c:v>4535</c:v>
                </c:pt>
                <c:pt idx="7">
                  <c:v>1241.5999999999999</c:v>
                </c:pt>
                <c:pt idx="8">
                  <c:v>32114.799999999999</c:v>
                </c:pt>
                <c:pt idx="9">
                  <c:v>6257.8</c:v>
                </c:pt>
                <c:pt idx="10">
                  <c:v>4687.6000000000004</c:v>
                </c:pt>
                <c:pt idx="11">
                  <c:v>8569</c:v>
                </c:pt>
              </c:numCache>
            </c:numRef>
          </c:val>
        </c:ser>
        <c:ser>
          <c:idx val="1"/>
          <c:order val="1"/>
          <c:tx>
            <c:strRef>
              <c:f>'Small M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M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3'!$C$40:$N$40</c:f>
              <c:numCache>
                <c:formatCode>#,##0.0</c:formatCode>
                <c:ptCount val="12"/>
                <c:pt idx="0">
                  <c:v>56117.599999999991</c:v>
                </c:pt>
                <c:pt idx="1">
                  <c:v>21117.799999999996</c:v>
                </c:pt>
                <c:pt idx="2">
                  <c:v>46793.000000000015</c:v>
                </c:pt>
                <c:pt idx="3">
                  <c:v>52497.600000000006</c:v>
                </c:pt>
                <c:pt idx="4">
                  <c:v>24779.400000000012</c:v>
                </c:pt>
                <c:pt idx="5">
                  <c:v>19672.599999999999</c:v>
                </c:pt>
                <c:pt idx="6">
                  <c:v>5814</c:v>
                </c:pt>
                <c:pt idx="7">
                  <c:v>2112.1999999999998</c:v>
                </c:pt>
                <c:pt idx="8">
                  <c:v>37398.800000000003</c:v>
                </c:pt>
                <c:pt idx="9">
                  <c:v>55622.999999999993</c:v>
                </c:pt>
                <c:pt idx="10">
                  <c:v>6531</c:v>
                </c:pt>
                <c:pt idx="11">
                  <c:v>13833.6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38784"/>
        <c:axId val="202840320"/>
      </c:barChart>
      <c:catAx>
        <c:axId val="202838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840320"/>
        <c:crosses val="autoZero"/>
        <c:auto val="1"/>
        <c:lblAlgn val="ctr"/>
        <c:lblOffset val="100"/>
        <c:noMultiLvlLbl val="0"/>
      </c:catAx>
      <c:valAx>
        <c:axId val="202840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20283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M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M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3'!$C$42:$N$42</c:f>
              <c:numCache>
                <c:formatCode>#,##0</c:formatCode>
                <c:ptCount val="12"/>
                <c:pt idx="0">
                  <c:v>517777780</c:v>
                </c:pt>
                <c:pt idx="1">
                  <c:v>517777768</c:v>
                </c:pt>
                <c:pt idx="2">
                  <c:v>517777780</c:v>
                </c:pt>
                <c:pt idx="3">
                  <c:v>517777780</c:v>
                </c:pt>
                <c:pt idx="4" formatCode="#,##0.0">
                  <c:v>517777780</c:v>
                </c:pt>
                <c:pt idx="5" formatCode="#,##0.0">
                  <c:v>517777768</c:v>
                </c:pt>
                <c:pt idx="6" formatCode="#,##0.0">
                  <c:v>517777768</c:v>
                </c:pt>
                <c:pt idx="7" formatCode="#,##0.0">
                  <c:v>517777768</c:v>
                </c:pt>
                <c:pt idx="8" formatCode="#,##0.0">
                  <c:v>517777780</c:v>
                </c:pt>
                <c:pt idx="9" formatCode="#,##0.0">
                  <c:v>517777768</c:v>
                </c:pt>
                <c:pt idx="10" formatCode="#,##0.0">
                  <c:v>517777780</c:v>
                </c:pt>
                <c:pt idx="11" formatCode="#,##0.0">
                  <c:v>517777780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61184"/>
        <c:axId val="202871168"/>
      </c:barChart>
      <c:catAx>
        <c:axId val="202861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871168"/>
        <c:crosses val="autoZero"/>
        <c:auto val="1"/>
        <c:lblAlgn val="ctr"/>
        <c:lblOffset val="100"/>
        <c:noMultiLvlLbl val="0"/>
      </c:catAx>
      <c:valAx>
        <c:axId val="202871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0286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C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C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1'!$C$39:$N$39</c:f>
              <c:numCache>
                <c:formatCode>#,##0.0</c:formatCode>
                <c:ptCount val="12"/>
                <c:pt idx="0">
                  <c:v>589.6</c:v>
                </c:pt>
                <c:pt idx="1">
                  <c:v>188.8</c:v>
                </c:pt>
                <c:pt idx="2">
                  <c:v>407.8</c:v>
                </c:pt>
                <c:pt idx="3">
                  <c:v>491.8</c:v>
                </c:pt>
                <c:pt idx="4">
                  <c:v>496.19999999999993</c:v>
                </c:pt>
                <c:pt idx="5">
                  <c:v>199.59999999999997</c:v>
                </c:pt>
                <c:pt idx="6">
                  <c:v>195.8</c:v>
                </c:pt>
                <c:pt idx="7">
                  <c:v>104.2</c:v>
                </c:pt>
                <c:pt idx="8">
                  <c:v>525.79999999999995</c:v>
                </c:pt>
                <c:pt idx="9">
                  <c:v>317.8</c:v>
                </c:pt>
                <c:pt idx="10">
                  <c:v>211.00000000000003</c:v>
                </c:pt>
                <c:pt idx="11">
                  <c:v>232.39999999999998</c:v>
                </c:pt>
              </c:numCache>
            </c:numRef>
          </c:val>
        </c:ser>
        <c:ser>
          <c:idx val="1"/>
          <c:order val="1"/>
          <c:tx>
            <c:strRef>
              <c:f>'Small C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C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1'!$C$40:$N$40</c:f>
              <c:numCache>
                <c:formatCode>#,##0.0</c:formatCode>
                <c:ptCount val="12"/>
                <c:pt idx="0">
                  <c:v>902</c:v>
                </c:pt>
                <c:pt idx="1">
                  <c:v>231.60000000000002</c:v>
                </c:pt>
                <c:pt idx="2">
                  <c:v>817.80000000000018</c:v>
                </c:pt>
                <c:pt idx="3">
                  <c:v>676.59999999999991</c:v>
                </c:pt>
                <c:pt idx="4">
                  <c:v>264.40000000000009</c:v>
                </c:pt>
                <c:pt idx="5">
                  <c:v>219.8</c:v>
                </c:pt>
                <c:pt idx="6">
                  <c:v>255.60000000000002</c:v>
                </c:pt>
                <c:pt idx="7">
                  <c:v>65.999999999999986</c:v>
                </c:pt>
                <c:pt idx="8">
                  <c:v>531</c:v>
                </c:pt>
                <c:pt idx="9">
                  <c:v>679.2</c:v>
                </c:pt>
                <c:pt idx="10">
                  <c:v>243.00000000000003</c:v>
                </c:pt>
                <c:pt idx="11">
                  <c:v>303.2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57504"/>
        <c:axId val="203159040"/>
      </c:barChart>
      <c:catAx>
        <c:axId val="203157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3159040"/>
        <c:crosses val="autoZero"/>
        <c:auto val="1"/>
        <c:lblAlgn val="ctr"/>
        <c:lblOffset val="100"/>
        <c:noMultiLvlLbl val="0"/>
      </c:catAx>
      <c:valAx>
        <c:axId val="203159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20315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Serialization" displayName="Serialization" ref="B59:Y64">
  <autoFilter ref="B59:Y64"/>
  <tableColumns count="24">
    <tableColumn id="2" name="Newtonsoft" totalsRowFunction="custom">
      <totalsRowFormula>AverageNumbers[](Serialization[Newtonsoft])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AverageNumbers[](Serialization[Jil])</totalsRowFormula>
    </tableColumn>
    <tableColumn id="9" name="NetJSON"/>
    <tableColumn id="8" name="Jackson"/>
    <tableColumn id="4" name="DSL Platform Java" totalsRowFunction="custom">
      <totalsRowFormula>AverageNumbers[](Serialization[DSL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AverageNumbers[](Serialization[Gson])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AverageNumbers[](Serialization[Service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Table17" displayName="Table17" ref="B51:M56">
  <autoFilter ref="B51:M56"/>
  <tableColumns count="12">
    <tableColumn id="2" name="Newtonsoft" totalsRowFunction="custom">
      <totalsRowFormula>AverageNumbers[](Table17[Newtonsoft])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AverageNumbers[](Table17[Jil])</totalsRowFormula>
    </tableColumn>
    <tableColumn id="10" name="NetJSON"/>
    <tableColumn id="15" name="Jackson"/>
    <tableColumn id="6" name="DSL Platform Java" totalsRowFunction="custom">
      <totalsRowFormula>AverageNumbers[](Table17[DSL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1" name="Table21" displayName="Table21" ref="B59:Y64">
  <autoFilter ref="B59:Y64"/>
  <tableColumns count="24">
    <tableColumn id="2" name="Newtonsoft" totalsRowFunction="custom">
      <totalsRowFormula>AverageNumbers[](Table21[Newtonsoft])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AverageNumbers[](Table21[Jil])</totalsRowFormula>
    </tableColumn>
    <tableColumn id="9" name="NetJSON"/>
    <tableColumn id="8" name="Jackson"/>
    <tableColumn id="4" name="DSL Platform Java" totalsRowFunction="custom">
      <totalsRowFormula>AverageNumbers[](Table21[DSL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AverageNumbers[](Table21[Gson])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AverageNumbers[](Table21[Service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5" name="Table25" displayName="Table25" ref="B37:N42" totalsRowShown="0">
  <autoFilter ref="B37:N42"/>
  <tableColumns count="13">
    <tableColumn id="1" name="Average"/>
    <tableColumn id="2" name="Newtonsoft" dataDxfId="383">
      <calculatedColumnFormula>AverageNumbers[](Table21[Newtonsoft])</calculatedColumnFormula>
    </tableColumn>
    <tableColumn id="3" name="Revenj" dataDxfId="382"/>
    <tableColumn id="11" name="fastJSON" dataDxfId="381"/>
    <tableColumn id="4" name="Service Stack" dataDxfId="380"/>
    <tableColumn id="8" name="Jil" dataDxfId="379"/>
    <tableColumn id="7" name="NetJSON" dataDxfId="378"/>
    <tableColumn id="5" name="Jackson afterburner" dataDxfId="377"/>
    <tableColumn id="6" name="DSL Platform Java" dataDxfId="376"/>
    <tableColumn id="9" name="Genson" dataDxfId="375"/>
    <tableColumn id="13" name="Boon" dataDxfId="374"/>
    <tableColumn id="12" name="Alibaba" dataDxfId="373"/>
    <tableColumn id="10" name="Gson" dataDxfId="37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4" name="Table24" displayName="Table24" ref="B46:N48" totalsRowShown="0">
  <autoFilter ref="B46:N48"/>
  <tableColumns count="13">
    <tableColumn id="1" name="Deviation"/>
    <tableColumn id="2" name="Newtonsoft" dataDxfId="371">
      <calculatedColumnFormula>AverageNumbers[](Table21[Newtonsoft])</calculatedColumnFormula>
    </tableColumn>
    <tableColumn id="3" name="Revenj" dataDxfId="370"/>
    <tableColumn id="11" name="fastJSON" dataDxfId="369"/>
    <tableColumn id="4" name="Service Stack" dataDxfId="368"/>
    <tableColumn id="5" name="Jil" dataDxfId="367">
      <calculatedColumnFormula>DEVSQ(Table21[Jil])</calculatedColumnFormula>
    </tableColumn>
    <tableColumn id="6" name="NetJSON" dataDxfId="366">
      <calculatedColumnFormula>DEVSQ(Table23[NetJSON])</calculatedColumnFormula>
    </tableColumn>
    <tableColumn id="7" name="Jackson afterburner" dataDxfId="365"/>
    <tableColumn id="8" name="DSL Platform Java" dataDxfId="364"/>
    <tableColumn id="9" name="Genson" dataDxfId="363"/>
    <tableColumn id="13" name="Boon" dataDxfId="362"/>
    <tableColumn id="12" name="Alibaba" dataDxfId="361"/>
    <tableColumn id="10" name="Gson" dataDxfId="36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3" name="Table23" displayName="Table23" ref="B67:M72">
  <autoFilter ref="B67:M72"/>
  <tableColumns count="12">
    <tableColumn id="2" name="Newtonsoft" totalsRowFunction="custom">
      <totalsRowFormula>AverageNumbers[](Table23[Newtonsoft])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AverageNumbers[](Table23[Jil])</totalsRowFormula>
    </tableColumn>
    <tableColumn id="10" name="NetJSON"/>
    <tableColumn id="15" name="Jackson"/>
    <tableColumn id="6" name="DSL Platform Java" totalsRowFunction="custom">
      <totalsRowFormula>AverageNumbers[](Table23[DSL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2" name="Table22" displayName="Table22" ref="B51:M56">
  <autoFilter ref="B51:M56"/>
  <tableColumns count="12">
    <tableColumn id="2" name="Newtonsoft" totalsRowFunction="custom">
      <totalsRowFormula>AverageNumbers[](Table22[Newtonsoft])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AverageNumbers[](Table22[Jil])</totalsRowFormula>
    </tableColumn>
    <tableColumn id="10" name="NetJSON"/>
    <tableColumn id="15" name="Jackson"/>
    <tableColumn id="6" name="DSL Platform Java" totalsRowFunction="custom">
      <totalsRowFormula>AverageNumbers[](Table22[DSL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6" name="Table26" displayName="Table26" ref="B59:Y64">
  <autoFilter ref="B59:Y64"/>
  <tableColumns count="24">
    <tableColumn id="2" name="Newtonsoft" totalsRowFunction="custom">
      <totalsRowFormula>AverageNumbers[](Table26[Newtonsoft])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AverageNumbers[](Table26[Jil])</totalsRowFormula>
    </tableColumn>
    <tableColumn id="9" name="NetJSON"/>
    <tableColumn id="8" name="Jackson"/>
    <tableColumn id="4" name="DSL Platform Java" totalsRowFunction="custom">
      <totalsRowFormula>AverageNumbers[](Table26[DSL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AverageNumbers[](Table26[Gson])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AverageNumbers[](Table26[Service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30" name="Table30" displayName="Table30" ref="B37:N42" totalsRowShown="0">
  <autoFilter ref="B37:N42"/>
  <tableColumns count="13">
    <tableColumn id="1" name="Average"/>
    <tableColumn id="2" name="Newtonsoft" dataDxfId="359">
      <calculatedColumnFormula>AverageNumbers[](Table26[Newtonsoft])</calculatedColumnFormula>
    </tableColumn>
    <tableColumn id="3" name="Revenj" dataDxfId="358"/>
    <tableColumn id="11" name="fastJSON" dataDxfId="357"/>
    <tableColumn id="4" name="Service Stack" dataDxfId="356"/>
    <tableColumn id="8" name="Jil" dataDxfId="355"/>
    <tableColumn id="7" name="NetJSON" dataDxfId="354"/>
    <tableColumn id="5" name="Jackson afterburner" dataDxfId="353"/>
    <tableColumn id="6" name="DSL Platform Java" dataDxfId="352"/>
    <tableColumn id="9" name="Genson" dataDxfId="351"/>
    <tableColumn id="13" name="Boon" dataDxfId="350"/>
    <tableColumn id="12" name="Alibaba" dataDxfId="349"/>
    <tableColumn id="10" name="Gson" dataDxfId="34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9" name="Table29" displayName="Table29" ref="B46:N48" totalsRowShown="0">
  <autoFilter ref="B46:N48"/>
  <tableColumns count="13">
    <tableColumn id="1" name="Deviation"/>
    <tableColumn id="2" name="Newtonsoft" dataDxfId="347">
      <calculatedColumnFormula>AverageNumbers[](Table26[Newtonsoft])</calculatedColumnFormula>
    </tableColumn>
    <tableColumn id="3" name="Revenj" dataDxfId="346"/>
    <tableColumn id="11" name="fastJSON" dataDxfId="345"/>
    <tableColumn id="4" name="Service Stack" dataDxfId="344"/>
    <tableColumn id="5" name="Jil" dataDxfId="343">
      <calculatedColumnFormula>DEVSQ(Table26[Jil])</calculatedColumnFormula>
    </tableColumn>
    <tableColumn id="6" name="NetJSON" dataDxfId="342">
      <calculatedColumnFormula>DEVSQ(Table28[NetJSON])</calculatedColumnFormula>
    </tableColumn>
    <tableColumn id="7" name="Jackson afterburner" dataDxfId="341"/>
    <tableColumn id="8" name="DSL Platform Java" dataDxfId="340"/>
    <tableColumn id="9" name="Genson" dataDxfId="339"/>
    <tableColumn id="13" name="Boon" dataDxfId="338"/>
    <tableColumn id="12" name="Alibaba" dataDxfId="337"/>
    <tableColumn id="10" name="Gson" dataDxfId="33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8" name="Table28" displayName="Table28" ref="B67:M72">
  <autoFilter ref="B67:M72"/>
  <tableColumns count="12">
    <tableColumn id="2" name="Newtonsoft" totalsRowFunction="custom">
      <totalsRowFormula>AverageNumbers[](Table28[Newtonsoft])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AverageNumbers[](Table28[Jil])</totalsRowFormula>
    </tableColumn>
    <tableColumn id="10" name="NetJSON"/>
    <tableColumn id="15" name="Jackson"/>
    <tableColumn id="6" name="DSL Platform Java" totalsRowFunction="custom">
      <totalsRowFormula>AverageNumbers[](Table28[DSL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AverageNumbers" displayName="AverageNumbers" ref="B37:N42" totalsRowShown="0">
  <autoFilter ref="B37:N42"/>
  <tableColumns count="13">
    <tableColumn id="1" name="Average"/>
    <tableColumn id="2" name="Newtonsoft" dataDxfId="431">
      <calculatedColumnFormula>AverageNumbers[](Serialization[Newtonsoft])</calculatedColumnFormula>
    </tableColumn>
    <tableColumn id="3" name="Revenj" dataDxfId="430"/>
    <tableColumn id="11" name="fastJSON" dataDxfId="429"/>
    <tableColumn id="4" name="Service Stack" dataDxfId="428"/>
    <tableColumn id="8" name="Jil" dataDxfId="427"/>
    <tableColumn id="7" name="NetJSON" dataDxfId="426"/>
    <tableColumn id="5" name="Jackson afterburner" dataDxfId="425"/>
    <tableColumn id="6" name="DSL Platform Java" dataDxfId="424"/>
    <tableColumn id="9" name="Genson" dataDxfId="423"/>
    <tableColumn id="13" name="Boon" dataDxfId="422"/>
    <tableColumn id="12" name="Alibaba" dataDxfId="421"/>
    <tableColumn id="10" name="Gson" dataDxfId="42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7" name="Table27" displayName="Table27" ref="B51:M56">
  <autoFilter ref="B51:M56"/>
  <tableColumns count="12">
    <tableColumn id="2" name="Newtonsoft" totalsRowFunction="custom">
      <totalsRowFormula>AverageNumbers[](Table27[Newtonsoft])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AverageNumbers[](Table27[Jil])</totalsRowFormula>
    </tableColumn>
    <tableColumn id="10" name="NetJSON"/>
    <tableColumn id="15" name="Jackson"/>
    <tableColumn id="6" name="DSL Platform Java" totalsRowFunction="custom">
      <totalsRowFormula>AverageNumbers[](Table27[DSL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31" name="Table31" displayName="Table31" ref="B59:Y64">
  <autoFilter ref="B59:Y64"/>
  <tableColumns count="24">
    <tableColumn id="2" name="Newtonsoft" totalsRowFunction="custom">
      <totalsRowFormula>AverageNumbers[](Table31[Newtonsoft])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AverageNumbers[](Table31[Jil])</totalsRowFormula>
    </tableColumn>
    <tableColumn id="9" name="NetJSON"/>
    <tableColumn id="8" name="Jackson"/>
    <tableColumn id="4" name="DSL Platform Java" totalsRowFunction="custom">
      <totalsRowFormula>AverageNumbers[](Table31[DSL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AverageNumbers[](Table31[Gson])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AverageNumbers[](Table31[Service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35" name="Table35" displayName="Table35" ref="B37:N42" totalsRowShown="0">
  <autoFilter ref="B37:N42"/>
  <tableColumns count="13">
    <tableColumn id="1" name="Average"/>
    <tableColumn id="2" name="Newtonsoft" dataDxfId="335">
      <calculatedColumnFormula>AverageNumbers[](Table31[Newtonsoft])</calculatedColumnFormula>
    </tableColumn>
    <tableColumn id="3" name="Revenj" dataDxfId="334"/>
    <tableColumn id="11" name="fastJSON" dataDxfId="333"/>
    <tableColumn id="4" name="Service Stack" dataDxfId="332"/>
    <tableColumn id="8" name="Jil" dataDxfId="331"/>
    <tableColumn id="7" name="NetJSON" dataDxfId="330"/>
    <tableColumn id="5" name="Jackson afterburner" dataDxfId="329"/>
    <tableColumn id="6" name="DSL Platform Java" dataDxfId="328"/>
    <tableColumn id="9" name="Genson" dataDxfId="327"/>
    <tableColumn id="13" name="Boon" dataDxfId="326"/>
    <tableColumn id="12" name="Alibaba" dataDxfId="325"/>
    <tableColumn id="10" name="Gson" dataDxfId="32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34" name="Table34" displayName="Table34" ref="B46:N48" totalsRowShown="0">
  <autoFilter ref="B46:N48"/>
  <tableColumns count="13">
    <tableColumn id="1" name="Deviation"/>
    <tableColumn id="2" name="Newtonsoft" dataDxfId="323">
      <calculatedColumnFormula>AverageNumbers[](Table31[Newtonsoft])</calculatedColumnFormula>
    </tableColumn>
    <tableColumn id="3" name="Revenj" dataDxfId="322"/>
    <tableColumn id="11" name="fastJSON" dataDxfId="321"/>
    <tableColumn id="4" name="Service Stack" dataDxfId="320"/>
    <tableColumn id="5" name="Jil" dataDxfId="319">
      <calculatedColumnFormula>DEVSQ(Table31[Jil])</calculatedColumnFormula>
    </tableColumn>
    <tableColumn id="6" name="NetJSON" dataDxfId="318">
      <calculatedColumnFormula>DEVSQ(Table33[NetJSON])</calculatedColumnFormula>
    </tableColumn>
    <tableColumn id="7" name="Jackson afterburner" dataDxfId="317"/>
    <tableColumn id="8" name="DSL Platform Java" dataDxfId="316"/>
    <tableColumn id="9" name="Genson" dataDxfId="315"/>
    <tableColumn id="13" name="Boon" dataDxfId="314"/>
    <tableColumn id="12" name="Alibaba" dataDxfId="313"/>
    <tableColumn id="10" name="Gson" dataDxfId="3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33" name="Table33" displayName="Table33" ref="B67:M72">
  <autoFilter ref="B67:M72"/>
  <tableColumns count="12">
    <tableColumn id="2" name="Newtonsoft" totalsRowFunction="custom">
      <totalsRowFormula>AverageNumbers[](Table33[Newtonsoft])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AverageNumbers[](Table33[Jil])</totalsRowFormula>
    </tableColumn>
    <tableColumn id="10" name="NetJSON"/>
    <tableColumn id="15" name="Jackson"/>
    <tableColumn id="6" name="DSL Platform Java" totalsRowFunction="custom">
      <totalsRowFormula>AverageNumbers[](Table33[DSL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2" name="Table32" displayName="Table32" ref="B51:M56">
  <autoFilter ref="B51:M56"/>
  <tableColumns count="12">
    <tableColumn id="2" name="Newtonsoft" totalsRowFunction="custom">
      <totalsRowFormula>AverageNumbers[](Table32[Newtonsoft])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AverageNumbers[](Table32[Jil])</totalsRowFormula>
    </tableColumn>
    <tableColumn id="10" name="NetJSON"/>
    <tableColumn id="15" name="Jackson"/>
    <tableColumn id="6" name="DSL Platform Java" totalsRowFunction="custom">
      <totalsRowFormula>AverageNumbers[](Table32[DSL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6" name="Table36" displayName="Table36" ref="B59:Y64">
  <autoFilter ref="B59:Y64"/>
  <tableColumns count="24">
    <tableColumn id="2" name="Newtonsoft" totalsRowFunction="custom">
      <totalsRowFormula>AverageNumbers[](Table36[Newtonsoft])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AverageNumbers[](Table36[Jil])</totalsRowFormula>
    </tableColumn>
    <tableColumn id="9" name="NetJSON"/>
    <tableColumn id="8" name="Jackson"/>
    <tableColumn id="4" name="DSL Platform Java" totalsRowFunction="custom">
      <totalsRowFormula>AverageNumbers[](Table36[DSL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AverageNumbers[](Table36[Gson])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AverageNumbers[](Table36[Service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40" name="Table40" displayName="Table40" ref="B37:N42" totalsRowShown="0">
  <autoFilter ref="B37:N42"/>
  <tableColumns count="13">
    <tableColumn id="1" name="Average"/>
    <tableColumn id="2" name="Newtonsoft" dataDxfId="311">
      <calculatedColumnFormula>AverageNumbers[](Table36[Newtonsoft])</calculatedColumnFormula>
    </tableColumn>
    <tableColumn id="3" name="Revenj" dataDxfId="310"/>
    <tableColumn id="11" name="fastJSON" dataDxfId="309"/>
    <tableColumn id="4" name="Service Stack" dataDxfId="308"/>
    <tableColumn id="8" name="Jil" dataDxfId="307"/>
    <tableColumn id="7" name="NetJSON" dataDxfId="306"/>
    <tableColumn id="5" name="Jackson afterburner" dataDxfId="305"/>
    <tableColumn id="6" name="DSL Platform Java" dataDxfId="304"/>
    <tableColumn id="9" name="Genson" dataDxfId="303"/>
    <tableColumn id="13" name="Boon" dataDxfId="302"/>
    <tableColumn id="12" name="Alibaba" dataDxfId="301"/>
    <tableColumn id="10" name="Gson" dataDxfId="300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9" name="Table39" displayName="Table39" ref="B46:N48" totalsRowShown="0">
  <autoFilter ref="B46:N48"/>
  <tableColumns count="13">
    <tableColumn id="1" name="Deviation"/>
    <tableColumn id="2" name="Newtonsoft" dataDxfId="299">
      <calculatedColumnFormula>AverageNumbers[](Table36[Newtonsoft])</calculatedColumnFormula>
    </tableColumn>
    <tableColumn id="3" name="Revenj" dataDxfId="298"/>
    <tableColumn id="11" name="fastJSON" dataDxfId="297"/>
    <tableColumn id="4" name="Service Stack" dataDxfId="296"/>
    <tableColumn id="5" name="Jil" dataDxfId="295">
      <calculatedColumnFormula>DEVSQ(Table36[Jil])</calculatedColumnFormula>
    </tableColumn>
    <tableColumn id="6" name="NetJSON" dataDxfId="294">
      <calculatedColumnFormula>DEVSQ(Table38[NetJSON])</calculatedColumnFormula>
    </tableColumn>
    <tableColumn id="7" name="Jackson afterburner" dataDxfId="293"/>
    <tableColumn id="8" name="DSL Platform Java" dataDxfId="292"/>
    <tableColumn id="9" name="Genson" dataDxfId="291"/>
    <tableColumn id="13" name="Boon" dataDxfId="290"/>
    <tableColumn id="12" name="Alibaba" dataDxfId="289"/>
    <tableColumn id="10" name="Gson" dataDxfId="28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8" name="Table38" displayName="Table38" ref="B67:M72">
  <autoFilter ref="B67:M72"/>
  <tableColumns count="12">
    <tableColumn id="2" name="Newtonsoft" totalsRowFunction="custom">
      <totalsRowFormula>AverageNumbers[](Table38[Newtonsoft])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AverageNumbers[](Table38[Jil])</totalsRowFormula>
    </tableColumn>
    <tableColumn id="10" name="NetJSON"/>
    <tableColumn id="15" name="Jackson"/>
    <tableColumn id="6" name="DSL Platform Java" totalsRowFunction="custom">
      <totalsRowFormula>AverageNumbers[](Table38[DSL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DeviationNumbers" displayName="DeviationNumbers" ref="B46:N48" totalsRowShown="0">
  <autoFilter ref="B46:N48"/>
  <tableColumns count="13">
    <tableColumn id="1" name="Deviation"/>
    <tableColumn id="2" name="Newtonsoft" dataDxfId="419">
      <calculatedColumnFormula>AverageNumbers[](Serialization[Newtonsoft])</calculatedColumnFormula>
    </tableColumn>
    <tableColumn id="3" name="Revenj" dataDxfId="418"/>
    <tableColumn id="11" name="fastJSON" dataDxfId="417"/>
    <tableColumn id="4" name="Service Stack" dataDxfId="416"/>
    <tableColumn id="5" name="Jil" dataDxfId="415">
      <calculatedColumnFormula>DEVSQ(Serialization[Jil])</calculatedColumnFormula>
    </tableColumn>
    <tableColumn id="6" name="NetJSON" dataDxfId="414">
      <calculatedColumnFormula>DEVSQ(Both[NetJSON])</calculatedColumnFormula>
    </tableColumn>
    <tableColumn id="7" name="Jackson afterburner" dataDxfId="413"/>
    <tableColumn id="8" name="DSL Platform Java" dataDxfId="412"/>
    <tableColumn id="9" name="Genson" dataDxfId="411"/>
    <tableColumn id="13" name="Boon" dataDxfId="410"/>
    <tableColumn id="12" name="Alibaba" dataDxfId="409"/>
    <tableColumn id="10" name="Gson" dataDxfId="408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7" name="Table37" displayName="Table37" ref="B51:M56">
  <autoFilter ref="B51:M56"/>
  <tableColumns count="12">
    <tableColumn id="2" name="Newtonsoft" totalsRowFunction="custom">
      <totalsRowFormula>AverageNumbers[](Table37[Newtonsoft])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AverageNumbers[](Table37[Jil])</totalsRowFormula>
    </tableColumn>
    <tableColumn id="10" name="NetJSON"/>
    <tableColumn id="15" name="Jackson"/>
    <tableColumn id="6" name="DSL Platform Java" totalsRowFunction="custom">
      <totalsRowFormula>AverageNumbers[](Table37[DSL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41" name="Table41" displayName="Table41" ref="B59:Y64">
  <autoFilter ref="B59:Y64"/>
  <tableColumns count="24">
    <tableColumn id="2" name="Newtonsoft" totalsRowFunction="custom">
      <totalsRowFormula>AverageNumbers[](Table41[Newtonsoft])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AverageNumbers[](Table41[Jil])</totalsRowFormula>
    </tableColumn>
    <tableColumn id="9" name="NetJSON"/>
    <tableColumn id="8" name="Jackson"/>
    <tableColumn id="4" name="DSL Platform Java" totalsRowFunction="custom">
      <totalsRowFormula>AverageNumbers[](Table41[DSL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AverageNumbers[](Table41[Gson])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AverageNumbers[](Table41[Service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45" name="Table45" displayName="Table45" ref="B37:N42" totalsRowShown="0">
  <autoFilter ref="B37:N42"/>
  <tableColumns count="13">
    <tableColumn id="1" name="Average"/>
    <tableColumn id="2" name="Newtonsoft" dataDxfId="287">
      <calculatedColumnFormula>AverageNumbers[](Table41[Newtonsoft])</calculatedColumnFormula>
    </tableColumn>
    <tableColumn id="3" name="Revenj" dataDxfId="286"/>
    <tableColumn id="11" name="fastJSON" dataDxfId="285"/>
    <tableColumn id="4" name="Service Stack" dataDxfId="284"/>
    <tableColumn id="8" name="Jil" dataDxfId="283"/>
    <tableColumn id="7" name="NetJSON" dataDxfId="282"/>
    <tableColumn id="5" name="Jackson afterburner" dataDxfId="281"/>
    <tableColumn id="6" name="DSL Platform Java" dataDxfId="280"/>
    <tableColumn id="9" name="Genson" dataDxfId="279"/>
    <tableColumn id="13" name="Boon" dataDxfId="278"/>
    <tableColumn id="12" name="Alibaba" dataDxfId="277"/>
    <tableColumn id="10" name="Gson" dataDxfId="276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44" name="Table44" displayName="Table44" ref="B46:N48" totalsRowShown="0">
  <autoFilter ref="B46:N48"/>
  <tableColumns count="13">
    <tableColumn id="1" name="Deviation"/>
    <tableColumn id="2" name="Newtonsoft" dataDxfId="275">
      <calculatedColumnFormula>AverageNumbers[](Table41[Newtonsoft])</calculatedColumnFormula>
    </tableColumn>
    <tableColumn id="3" name="Revenj" dataDxfId="274"/>
    <tableColumn id="11" name="fastJSON" dataDxfId="273"/>
    <tableColumn id="4" name="Service Stack" dataDxfId="272"/>
    <tableColumn id="5" name="Jil" dataDxfId="271">
      <calculatedColumnFormula>DEVSQ(Table41[Jil])</calculatedColumnFormula>
    </tableColumn>
    <tableColumn id="6" name="NetJSON" dataDxfId="270">
      <calculatedColumnFormula>DEVSQ(Table43[NetJSON])</calculatedColumnFormula>
    </tableColumn>
    <tableColumn id="7" name="Jackson afterburner" dataDxfId="269"/>
    <tableColumn id="8" name="DSL Platform Java" dataDxfId="268"/>
    <tableColumn id="9" name="Genson" dataDxfId="267"/>
    <tableColumn id="13" name="Boon" dataDxfId="266"/>
    <tableColumn id="12" name="Alibaba" dataDxfId="265"/>
    <tableColumn id="10" name="Gson" dataDxfId="264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43" name="Table43" displayName="Table43" ref="B67:M72">
  <autoFilter ref="B67:M72"/>
  <tableColumns count="12">
    <tableColumn id="2" name="Newtonsoft" totalsRowFunction="custom">
      <totalsRowFormula>AverageNumbers[](Table43[Newtonsoft])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AverageNumbers[](Table43[Jil])</totalsRowFormula>
    </tableColumn>
    <tableColumn id="10" name="NetJSON"/>
    <tableColumn id="15" name="Jackson"/>
    <tableColumn id="6" name="DSL Platform Java" totalsRowFunction="custom">
      <totalsRowFormula>AverageNumbers[](Table43[DSL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42" name="Table42" displayName="Table42" ref="B51:M56">
  <autoFilter ref="B51:M56"/>
  <tableColumns count="12">
    <tableColumn id="2" name="Newtonsoft" totalsRowFunction="custom">
      <totalsRowFormula>AverageNumbers[](Table42[Newtonsoft])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AverageNumbers[](Table42[Jil])</totalsRowFormula>
    </tableColumn>
    <tableColumn id="10" name="NetJSON"/>
    <tableColumn id="15" name="Jackson"/>
    <tableColumn id="6" name="DSL Platform Java" totalsRowFunction="custom">
      <totalsRowFormula>AverageNumbers[](Table42[DSL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46" name="Table46" displayName="Table46" ref="B59:Y64">
  <autoFilter ref="B59:Y64"/>
  <tableColumns count="24">
    <tableColumn id="2" name="Newtonsoft" totalsRowFunction="custom">
      <totalsRowFormula>AverageNumbers[](Table46[Newtonsoft])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AverageNumbers[](Table46[Jil])</totalsRowFormula>
    </tableColumn>
    <tableColumn id="9" name="NetJSON"/>
    <tableColumn id="8" name="Jackson"/>
    <tableColumn id="4" name="DSL Platform Java" totalsRowFunction="custom">
      <totalsRowFormula>AverageNumbers[](Table46[DSL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AverageNumbers[](Table46[Gson])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AverageNumbers[](Table46[Service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50" name="Table50" displayName="Table50" ref="B37:N42" totalsRowShown="0">
  <autoFilter ref="B37:N42"/>
  <tableColumns count="13">
    <tableColumn id="1" name="Average"/>
    <tableColumn id="2" name="Newtonsoft" dataDxfId="263">
      <calculatedColumnFormula>AverageNumbers[](Table46[Newtonsoft])</calculatedColumnFormula>
    </tableColumn>
    <tableColumn id="3" name="Revenj" dataDxfId="262"/>
    <tableColumn id="11" name="fastJSON" dataDxfId="261"/>
    <tableColumn id="4" name="Service Stack" dataDxfId="260"/>
    <tableColumn id="8" name="Jil" dataDxfId="259"/>
    <tableColumn id="7" name="NetJSON" dataDxfId="258"/>
    <tableColumn id="5" name="Jackson afterburner" dataDxfId="257"/>
    <tableColumn id="6" name="DSL Platform Java" dataDxfId="256"/>
    <tableColumn id="9" name="Genson" dataDxfId="255"/>
    <tableColumn id="13" name="Boon" dataDxfId="254"/>
    <tableColumn id="12" name="Alibaba" dataDxfId="253"/>
    <tableColumn id="10" name="Gson" dataDxfId="252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49" name="Table49" displayName="Table49" ref="B46:N48" totalsRowShown="0">
  <autoFilter ref="B46:N48"/>
  <tableColumns count="13">
    <tableColumn id="1" name="Deviation"/>
    <tableColumn id="2" name="Newtonsoft" dataDxfId="251">
      <calculatedColumnFormula>AverageNumbers[](Table46[Newtonsoft])</calculatedColumnFormula>
    </tableColumn>
    <tableColumn id="3" name="Revenj" dataDxfId="250"/>
    <tableColumn id="11" name="fastJSON" dataDxfId="249"/>
    <tableColumn id="4" name="Service Stack" dataDxfId="248"/>
    <tableColumn id="5" name="Jil" dataDxfId="247">
      <calculatedColumnFormula>DEVSQ(Table46[Jil])</calculatedColumnFormula>
    </tableColumn>
    <tableColumn id="6" name="NetJSON" dataDxfId="246">
      <calculatedColumnFormula>DEVSQ(Table48[NetJSON])</calculatedColumnFormula>
    </tableColumn>
    <tableColumn id="7" name="Jackson afterburner" dataDxfId="245"/>
    <tableColumn id="8" name="DSL Platform Java" dataDxfId="244"/>
    <tableColumn id="9" name="Genson" dataDxfId="243"/>
    <tableColumn id="13" name="Boon" dataDxfId="242"/>
    <tableColumn id="12" name="Alibaba" dataDxfId="241"/>
    <tableColumn id="10" name="Gson" dataDxfId="240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48" name="Table48" displayName="Table48" ref="B67:M72">
  <autoFilter ref="B67:M72"/>
  <tableColumns count="12">
    <tableColumn id="2" name="Newtonsoft" totalsRowFunction="custom">
      <totalsRowFormula>AverageNumbers[](Table48[Newtonsoft])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AverageNumbers[](Table48[Jil])</totalsRowFormula>
    </tableColumn>
    <tableColumn id="10" name="NetJSON"/>
    <tableColumn id="15" name="Jackson"/>
    <tableColumn id="6" name="DSL Platform Java" totalsRowFunction="custom">
      <totalsRowFormula>AverageNumbers[](Table48[DSL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Both" displayName="Both" ref="B67:M72">
  <autoFilter ref="B67:M72"/>
  <tableColumns count="12">
    <tableColumn id="2" name="Newtonsoft" totalsRowFunction="custom">
      <totalsRowFormula>AverageNumbers[](Both[Newtonsoft])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AverageNumbers[](Both[Jil])</totalsRowFormula>
    </tableColumn>
    <tableColumn id="10" name="NetJSON"/>
    <tableColumn id="15" name="Jackson"/>
    <tableColumn id="6" name="DSL Platform Java" totalsRowFunction="custom">
      <totalsRowFormula>AverageNumbers[](Both[DSL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47" name="Table47" displayName="Table47" ref="B51:M56">
  <autoFilter ref="B51:M56"/>
  <tableColumns count="12">
    <tableColumn id="2" name="Newtonsoft" totalsRowFunction="custom">
      <totalsRowFormula>AverageNumbers[](Table47[Newtonsoft])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AverageNumbers[](Table47[Jil])</totalsRowFormula>
    </tableColumn>
    <tableColumn id="10" name="NetJSON"/>
    <tableColumn id="15" name="Jackson"/>
    <tableColumn id="6" name="DSL Platform Java" totalsRowFunction="custom">
      <totalsRowFormula>AverageNumbers[](Table47[DSL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51" name="Table51" displayName="Table51" ref="B59:Y64">
  <autoFilter ref="B59:Y64"/>
  <tableColumns count="24">
    <tableColumn id="2" name="Newtonsoft" totalsRowFunction="custom">
      <totalsRowFormula>AverageNumbers[](Table51[Newtonsoft])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AverageNumbers[](Table51[Jil])</totalsRowFormula>
    </tableColumn>
    <tableColumn id="9" name="NetJSON"/>
    <tableColumn id="8" name="Jackson"/>
    <tableColumn id="4" name="DSL Platform Java" totalsRowFunction="custom">
      <totalsRowFormula>AverageNumbers[](Table51[DSL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AverageNumbers[](Table51[Gson])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AverageNumbers[](Table51[Service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55" name="Table55" displayName="Table55" ref="B37:N42" totalsRowShown="0">
  <autoFilter ref="B37:N42"/>
  <tableColumns count="13">
    <tableColumn id="1" name="Average"/>
    <tableColumn id="2" name="Newtonsoft" dataDxfId="239">
      <calculatedColumnFormula>AverageNumbers[](Table51[Newtonsoft])</calculatedColumnFormula>
    </tableColumn>
    <tableColumn id="3" name="Revenj" dataDxfId="238"/>
    <tableColumn id="11" name="fastJSON" dataDxfId="237"/>
    <tableColumn id="4" name="Service Stack" dataDxfId="236"/>
    <tableColumn id="8" name="Jil" dataDxfId="235"/>
    <tableColumn id="7" name="NetJSON" dataDxfId="234"/>
    <tableColumn id="5" name="Jackson afterburner" dataDxfId="233"/>
    <tableColumn id="6" name="DSL Platform Java" dataDxfId="232"/>
    <tableColumn id="9" name="Genson" dataDxfId="231"/>
    <tableColumn id="13" name="Boon" dataDxfId="230"/>
    <tableColumn id="12" name="Alibaba" dataDxfId="229"/>
    <tableColumn id="10" name="Gson" dataDxfId="228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54" name="Table54" displayName="Table54" ref="B46:N48" totalsRowShown="0">
  <autoFilter ref="B46:N48"/>
  <tableColumns count="13">
    <tableColumn id="1" name="Deviation"/>
    <tableColumn id="2" name="Newtonsoft" dataDxfId="227">
      <calculatedColumnFormula>AverageNumbers[](Table51[Newtonsoft])</calculatedColumnFormula>
    </tableColumn>
    <tableColumn id="3" name="Revenj" dataDxfId="226"/>
    <tableColumn id="11" name="fastJSON" dataDxfId="225"/>
    <tableColumn id="4" name="Service Stack" dataDxfId="224"/>
    <tableColumn id="5" name="Jil" dataDxfId="223">
      <calculatedColumnFormula>DEVSQ(Table51[Jil])</calculatedColumnFormula>
    </tableColumn>
    <tableColumn id="6" name="NetJSON" dataDxfId="222">
      <calculatedColumnFormula>DEVSQ(Table53[NetJSON])</calculatedColumnFormula>
    </tableColumn>
    <tableColumn id="7" name="Jackson afterburner" dataDxfId="221"/>
    <tableColumn id="8" name="DSL Platform Java" dataDxfId="220"/>
    <tableColumn id="9" name="Genson" dataDxfId="219"/>
    <tableColumn id="13" name="Boon" dataDxfId="218"/>
    <tableColumn id="12" name="Alibaba" dataDxfId="217"/>
    <tableColumn id="10" name="Gson" dataDxfId="216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53" name="Table53" displayName="Table53" ref="B67:M72">
  <autoFilter ref="B67:M72"/>
  <tableColumns count="12">
    <tableColumn id="2" name="Newtonsoft" totalsRowFunction="custom">
      <totalsRowFormula>AverageNumbers[](Table53[Newtonsoft])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AverageNumbers[](Table53[Jil])</totalsRowFormula>
    </tableColumn>
    <tableColumn id="10" name="NetJSON"/>
    <tableColumn id="15" name="Jackson"/>
    <tableColumn id="6" name="DSL Platform Java" totalsRowFunction="custom">
      <totalsRowFormula>AverageNumbers[](Table53[DSL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52" name="Table52" displayName="Table52" ref="B51:M56">
  <autoFilter ref="B51:M56"/>
  <tableColumns count="12">
    <tableColumn id="2" name="Newtonsoft" totalsRowFunction="custom">
      <totalsRowFormula>AverageNumbers[](Table52[Newtonsoft])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AverageNumbers[](Table52[Jil])</totalsRowFormula>
    </tableColumn>
    <tableColumn id="10" name="NetJSON"/>
    <tableColumn id="15" name="Jackson"/>
    <tableColumn id="6" name="DSL Platform Java" totalsRowFunction="custom">
      <totalsRowFormula>AverageNumbers[](Table52[DSL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56" name="Table56" displayName="Table56" ref="B59:Y64">
  <autoFilter ref="B59:Y64"/>
  <tableColumns count="24">
    <tableColumn id="2" name="Newtonsoft" totalsRowFunction="custom">
      <totalsRowFormula>AverageNumbers[](Table56[Newtonsoft])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AverageNumbers[](Table56[Jil])</totalsRowFormula>
    </tableColumn>
    <tableColumn id="9" name="NetJSON"/>
    <tableColumn id="8" name="Jackson"/>
    <tableColumn id="4" name="DSL Platform Java" totalsRowFunction="custom">
      <totalsRowFormula>AverageNumbers[](Table56[DSL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AverageNumbers[](Table56[Gson])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AverageNumbers[](Table56[Service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60" name="Table60" displayName="Table60" ref="B37:N42" totalsRowShown="0">
  <autoFilter ref="B37:N42"/>
  <tableColumns count="13">
    <tableColumn id="1" name="Average"/>
    <tableColumn id="2" name="Newtonsoft" dataDxfId="215">
      <calculatedColumnFormula>AverageNumbers[](Table56[Newtonsoft])</calculatedColumnFormula>
    </tableColumn>
    <tableColumn id="3" name="Revenj" dataDxfId="214"/>
    <tableColumn id="11" name="fastJSON" dataDxfId="213"/>
    <tableColumn id="4" name="Service Stack" dataDxfId="212"/>
    <tableColumn id="8" name="Jil" dataDxfId="211"/>
    <tableColumn id="7" name="NetJSON" dataDxfId="210"/>
    <tableColumn id="5" name="Jackson afterburner" dataDxfId="209"/>
    <tableColumn id="6" name="DSL Platform Java" dataDxfId="208"/>
    <tableColumn id="9" name="Genson" dataDxfId="207"/>
    <tableColumn id="13" name="Boon" dataDxfId="206"/>
    <tableColumn id="12" name="Alibaba" dataDxfId="205"/>
    <tableColumn id="10" name="Gson" dataDxfId="204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59" name="Table59" displayName="Table59" ref="B46:N48" totalsRowShown="0">
  <autoFilter ref="B46:N48"/>
  <tableColumns count="13">
    <tableColumn id="1" name="Deviation"/>
    <tableColumn id="2" name="Newtonsoft" dataDxfId="203">
      <calculatedColumnFormula>AverageNumbers[](Table56[Newtonsoft])</calculatedColumnFormula>
    </tableColumn>
    <tableColumn id="3" name="Revenj" dataDxfId="202"/>
    <tableColumn id="11" name="fastJSON" dataDxfId="201"/>
    <tableColumn id="4" name="Service Stack" dataDxfId="200"/>
    <tableColumn id="5" name="Jil" dataDxfId="199">
      <calculatedColumnFormula>DEVSQ(Table56[Jil])</calculatedColumnFormula>
    </tableColumn>
    <tableColumn id="6" name="NetJSON" dataDxfId="198">
      <calculatedColumnFormula>DEVSQ(Table58[NetJSON])</calculatedColumnFormula>
    </tableColumn>
    <tableColumn id="7" name="Jackson afterburner" dataDxfId="197"/>
    <tableColumn id="8" name="DSL Platform Java" dataDxfId="196"/>
    <tableColumn id="9" name="Genson" dataDxfId="195"/>
    <tableColumn id="13" name="Boon" dataDxfId="194"/>
    <tableColumn id="12" name="Alibaba" dataDxfId="193"/>
    <tableColumn id="10" name="Gson" dataDxfId="192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58" name="Table58" displayName="Table58" ref="B67:M72">
  <autoFilter ref="B67:M72"/>
  <tableColumns count="12">
    <tableColumn id="2" name="Newtonsoft" totalsRowFunction="custom">
      <totalsRowFormula>AverageNumbers[](Table58[Newtonsoft])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AverageNumbers[](Table58[Jil])</totalsRowFormula>
    </tableColumn>
    <tableColumn id="10" name="NetJSON"/>
    <tableColumn id="15" name="Jackson"/>
    <tableColumn id="6" name="DSL Platform Java" totalsRowFunction="custom">
      <totalsRowFormula>AverageNumbers[](Table58[DSL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Instance" displayName="Instance" ref="B51:M56">
  <autoFilter ref="B51:M56"/>
  <tableColumns count="12">
    <tableColumn id="2" name="Newtonsoft" totalsRowFunction="custom">
      <totalsRowFormula>AverageNumbers[](Instance[Newtonsoft])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AverageNumbers[](Instance[Jil])</totalsRowFormula>
    </tableColumn>
    <tableColumn id="10" name="NetJSON"/>
    <tableColumn id="15" name="Jackson"/>
    <tableColumn id="6" name="DSL Platform Java" totalsRowFunction="custom">
      <totalsRowFormula>AverageNumbers[](Instance[DSL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57" name="Table57" displayName="Table57" ref="B51:M56">
  <autoFilter ref="B51:M56"/>
  <tableColumns count="12">
    <tableColumn id="2" name="Newtonsoft" totalsRowFunction="custom">
      <totalsRowFormula>AverageNumbers[](Table57[Newtonsoft])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AverageNumbers[](Table57[Jil])</totalsRowFormula>
    </tableColumn>
    <tableColumn id="10" name="NetJSON"/>
    <tableColumn id="15" name="Jackson"/>
    <tableColumn id="6" name="DSL Platform Java" totalsRowFunction="custom">
      <totalsRowFormula>AverageNumbers[](Table57[DSL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61" name="Table61" displayName="Table61" ref="B59:Y64">
  <autoFilter ref="B59:Y64"/>
  <tableColumns count="24">
    <tableColumn id="2" name="Newtonsoft" totalsRowFunction="custom">
      <totalsRowFormula>AverageNumbers[](Table61[Newtonsoft])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AverageNumbers[](Table61[Jil])</totalsRowFormula>
    </tableColumn>
    <tableColumn id="9" name="NetJSON"/>
    <tableColumn id="8" name="Jackson"/>
    <tableColumn id="4" name="DSL Platform Java" totalsRowFunction="custom">
      <totalsRowFormula>AverageNumbers[](Table61[DSL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AverageNumbers[](Table61[Gson])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AverageNumbers[](Table61[Service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65" name="Table65" displayName="Table65" ref="B37:N42" totalsRowShown="0">
  <autoFilter ref="B37:N42"/>
  <tableColumns count="13">
    <tableColumn id="1" name="Average"/>
    <tableColumn id="2" name="Newtonsoft" dataDxfId="191">
      <calculatedColumnFormula>AverageNumbers[](Table61[Newtonsoft])</calculatedColumnFormula>
    </tableColumn>
    <tableColumn id="3" name="Revenj" dataDxfId="190"/>
    <tableColumn id="11" name="fastJSON" dataDxfId="189"/>
    <tableColumn id="4" name="Service Stack" dataDxfId="188"/>
    <tableColumn id="8" name="Jil" dataDxfId="187"/>
    <tableColumn id="7" name="NetJSON" dataDxfId="186"/>
    <tableColumn id="5" name="Jackson afterburner" dataDxfId="185"/>
    <tableColumn id="6" name="DSL Platform Java" dataDxfId="184"/>
    <tableColumn id="9" name="Genson" dataDxfId="183"/>
    <tableColumn id="13" name="Boon" dataDxfId="182"/>
    <tableColumn id="12" name="Alibaba" dataDxfId="181"/>
    <tableColumn id="10" name="Gson" dataDxfId="180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64" name="Table64" displayName="Table64" ref="B46:N48" totalsRowShown="0">
  <autoFilter ref="B46:N48"/>
  <tableColumns count="13">
    <tableColumn id="1" name="Deviation"/>
    <tableColumn id="2" name="Newtonsoft" dataDxfId="179">
      <calculatedColumnFormula>AverageNumbers[](Table61[Newtonsoft])</calculatedColumnFormula>
    </tableColumn>
    <tableColumn id="3" name="Revenj" dataDxfId="178"/>
    <tableColumn id="11" name="fastJSON" dataDxfId="177"/>
    <tableColumn id="4" name="Service Stack" dataDxfId="176"/>
    <tableColumn id="5" name="Jil" dataDxfId="175">
      <calculatedColumnFormula>DEVSQ(Table61[Jil])</calculatedColumnFormula>
    </tableColumn>
    <tableColumn id="6" name="NetJSON" dataDxfId="174">
      <calculatedColumnFormula>DEVSQ(Table63[NetJSON])</calculatedColumnFormula>
    </tableColumn>
    <tableColumn id="7" name="Jackson afterburner" dataDxfId="173"/>
    <tableColumn id="8" name="DSL Platform Java" dataDxfId="172"/>
    <tableColumn id="9" name="Genson" dataDxfId="171"/>
    <tableColumn id="13" name="Boon" dataDxfId="170"/>
    <tableColumn id="12" name="Alibaba" dataDxfId="169"/>
    <tableColumn id="10" name="Gson" dataDxfId="168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63" name="Table63" displayName="Table63" ref="B67:M72">
  <autoFilter ref="B67:M72"/>
  <tableColumns count="12">
    <tableColumn id="2" name="Newtonsoft" totalsRowFunction="custom">
      <totalsRowFormula>AverageNumbers[](Table63[Newtonsoft])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AverageNumbers[](Table63[Jil])</totalsRowFormula>
    </tableColumn>
    <tableColumn id="10" name="NetJSON"/>
    <tableColumn id="15" name="Jackson"/>
    <tableColumn id="6" name="DSL Platform Java" totalsRowFunction="custom">
      <totalsRowFormula>AverageNumbers[](Table63[DSL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62" name="Table62" displayName="Table62" ref="B51:M56">
  <autoFilter ref="B51:M56"/>
  <tableColumns count="12">
    <tableColumn id="2" name="Newtonsoft" totalsRowFunction="custom">
      <totalsRowFormula>AverageNumbers[](Table62[Newtonsoft])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AverageNumbers[](Table62[Jil])</totalsRowFormula>
    </tableColumn>
    <tableColumn id="10" name="NetJSON"/>
    <tableColumn id="15" name="Jackson"/>
    <tableColumn id="6" name="DSL Platform Java" totalsRowFunction="custom">
      <totalsRowFormula>AverageNumbers[](Table62[DSL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66" name="Table66" displayName="Table66" ref="B59:Y64">
  <autoFilter ref="B59:Y64"/>
  <tableColumns count="24">
    <tableColumn id="2" name="Newtonsoft" totalsRowFunction="custom">
      <totalsRowFormula>AverageNumbers[](Table66[Newtonsoft])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AverageNumbers[](Table66[Jil])</totalsRowFormula>
    </tableColumn>
    <tableColumn id="9" name="NetJSON"/>
    <tableColumn id="8" name="Jackson"/>
    <tableColumn id="4" name="DSL Platform Java" totalsRowFunction="custom">
      <totalsRowFormula>AverageNumbers[](Table66[DSL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AverageNumbers[](Table66[Gson])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AverageNumbers[](Table66[Service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70" name="Table70" displayName="Table70" ref="B37:N42" totalsRowShown="0">
  <autoFilter ref="B37:N42"/>
  <tableColumns count="13">
    <tableColumn id="1" name="Average"/>
    <tableColumn id="2" name="Newtonsoft" dataDxfId="167">
      <calculatedColumnFormula>AverageNumbers[](Table66[Newtonsoft])</calculatedColumnFormula>
    </tableColumn>
    <tableColumn id="3" name="Revenj" dataDxfId="166"/>
    <tableColumn id="11" name="fastJSON" dataDxfId="165"/>
    <tableColumn id="4" name="Service Stack" dataDxfId="164"/>
    <tableColumn id="8" name="Jil" dataDxfId="163"/>
    <tableColumn id="7" name="NetJSON" dataDxfId="162"/>
    <tableColumn id="5" name="Jackson afterburner" dataDxfId="161"/>
    <tableColumn id="6" name="DSL Platform Java" dataDxfId="160"/>
    <tableColumn id="9" name="Genson" dataDxfId="159"/>
    <tableColumn id="13" name="Boon" dataDxfId="158"/>
    <tableColumn id="12" name="Alibaba" dataDxfId="157"/>
    <tableColumn id="10" name="Gson" dataDxfId="156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69" name="Table69" displayName="Table69" ref="B46:N48" totalsRowShown="0">
  <autoFilter ref="B46:N48"/>
  <tableColumns count="13">
    <tableColumn id="1" name="Deviation"/>
    <tableColumn id="2" name="Newtonsoft" dataDxfId="155">
      <calculatedColumnFormula>AverageNumbers[](Table66[Newtonsoft])</calculatedColumnFormula>
    </tableColumn>
    <tableColumn id="3" name="Revenj" dataDxfId="154"/>
    <tableColumn id="11" name="fastJSON" dataDxfId="153"/>
    <tableColumn id="4" name="Service Stack" dataDxfId="152"/>
    <tableColumn id="5" name="Jil" dataDxfId="151">
      <calculatedColumnFormula>DEVSQ(Table66[Jil])</calculatedColumnFormula>
    </tableColumn>
    <tableColumn id="6" name="NetJSON" dataDxfId="150">
      <calculatedColumnFormula>DEVSQ(Table68[NetJSON])</calculatedColumnFormula>
    </tableColumn>
    <tableColumn id="7" name="Jackson afterburner" dataDxfId="149"/>
    <tableColumn id="8" name="DSL Platform Java" dataDxfId="148"/>
    <tableColumn id="9" name="Genson" dataDxfId="147"/>
    <tableColumn id="13" name="Boon" dataDxfId="146"/>
    <tableColumn id="12" name="Alibaba" dataDxfId="145"/>
    <tableColumn id="10" name="Gson" dataDxfId="144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68" name="Table68" displayName="Table68" ref="B67:M72">
  <autoFilter ref="B67:M72"/>
  <tableColumns count="12">
    <tableColumn id="2" name="Newtonsoft" totalsRowFunction="custom">
      <totalsRowFormula>AverageNumbers[](Table68[Newtonsoft])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AverageNumbers[](Table68[Jil])</totalsRowFormula>
    </tableColumn>
    <tableColumn id="10" name="NetJSON"/>
    <tableColumn id="15" name="Jackson"/>
    <tableColumn id="6" name="DSL Platform Java" totalsRowFunction="custom">
      <totalsRowFormula>AverageNumbers[](Table68[DSL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Table16" displayName="Table16" ref="B59:Y64">
  <autoFilter ref="B59:Y64"/>
  <tableColumns count="24">
    <tableColumn id="2" name="Newtonsoft" totalsRowFunction="custom">
      <totalsRowFormula>AverageNumbers[](Table16[Newtonsoft])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AverageNumbers[](Table16[Jil])</totalsRowFormula>
    </tableColumn>
    <tableColumn id="9" name="NetJSON"/>
    <tableColumn id="8" name="Jackson"/>
    <tableColumn id="4" name="DSL Platform Java" totalsRowFunction="custom">
      <totalsRowFormula>AverageNumbers[](Table16[DSL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AverageNumbers[](Table16[Gson])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AverageNumbers[](Table16[Service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67" name="Table67" displayName="Table67" ref="B51:M56">
  <autoFilter ref="B51:M56"/>
  <tableColumns count="12">
    <tableColumn id="2" name="Newtonsoft" totalsRowFunction="custom">
      <totalsRowFormula>AverageNumbers[](Table67[Newtonsoft])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AverageNumbers[](Table67[Jil])</totalsRowFormula>
    </tableColumn>
    <tableColumn id="10" name="NetJSON"/>
    <tableColumn id="15" name="Jackson"/>
    <tableColumn id="6" name="DSL Platform Java" totalsRowFunction="custom">
      <totalsRowFormula>AverageNumbers[](Table67[DSL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71" name="Table71" displayName="Table71" ref="B59:Y64">
  <autoFilter ref="B59:Y64"/>
  <tableColumns count="24">
    <tableColumn id="2" name="Newtonsoft" totalsRowFunction="custom">
      <totalsRowFormula>AverageNumbers[](Table71[Newtonsoft])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AverageNumbers[](Table71[Jil])</totalsRowFormula>
    </tableColumn>
    <tableColumn id="9" name="NetJSON"/>
    <tableColumn id="8" name="Jackson"/>
    <tableColumn id="4" name="DSL Platform Java" totalsRowFunction="custom">
      <totalsRowFormula>AverageNumbers[](Table71[DSL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AverageNumbers[](Table71[Gson])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AverageNumbers[](Table71[Service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75" name="Table75" displayName="Table75" ref="B37:N42" totalsRowShown="0">
  <autoFilter ref="B37:N42"/>
  <tableColumns count="13">
    <tableColumn id="1" name="Average"/>
    <tableColumn id="2" name="Newtonsoft" dataDxfId="143">
      <calculatedColumnFormula>AverageNumbers[](Table71[Newtonsoft])</calculatedColumnFormula>
    </tableColumn>
    <tableColumn id="3" name="Revenj" dataDxfId="142"/>
    <tableColumn id="11" name="fastJSON" dataDxfId="141"/>
    <tableColumn id="4" name="Service Stack" dataDxfId="140"/>
    <tableColumn id="8" name="Jil" dataDxfId="139"/>
    <tableColumn id="7" name="NetJSON" dataDxfId="138"/>
    <tableColumn id="5" name="Jackson afterburner" dataDxfId="137"/>
    <tableColumn id="6" name="DSL Platform Java" dataDxfId="136"/>
    <tableColumn id="9" name="Genson" dataDxfId="135"/>
    <tableColumn id="13" name="Boon" dataDxfId="134"/>
    <tableColumn id="12" name="Alibaba" dataDxfId="133"/>
    <tableColumn id="10" name="Gson" dataDxfId="132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74" name="Table74" displayName="Table74" ref="B46:N48" totalsRowShown="0">
  <autoFilter ref="B46:N48"/>
  <tableColumns count="13">
    <tableColumn id="1" name="Deviation"/>
    <tableColumn id="2" name="Newtonsoft" dataDxfId="131">
      <calculatedColumnFormula>AverageNumbers[](Table71[Newtonsoft])</calculatedColumnFormula>
    </tableColumn>
    <tableColumn id="3" name="Revenj" dataDxfId="130"/>
    <tableColumn id="11" name="fastJSON" dataDxfId="129"/>
    <tableColumn id="4" name="Service Stack" dataDxfId="128"/>
    <tableColumn id="5" name="Jil" dataDxfId="127">
      <calculatedColumnFormula>DEVSQ(Table71[Jil])</calculatedColumnFormula>
    </tableColumn>
    <tableColumn id="6" name="NetJSON" dataDxfId="126">
      <calculatedColumnFormula>DEVSQ(Table73[NetJSON])</calculatedColumnFormula>
    </tableColumn>
    <tableColumn id="7" name="Jackson afterburner" dataDxfId="125"/>
    <tableColumn id="8" name="DSL Platform Java" dataDxfId="124"/>
    <tableColumn id="9" name="Genson" dataDxfId="123"/>
    <tableColumn id="13" name="Boon" dataDxfId="122"/>
    <tableColumn id="12" name="Alibaba" dataDxfId="121"/>
    <tableColumn id="10" name="Gson" dataDxfId="120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73" name="Table73" displayName="Table73" ref="B67:M72">
  <autoFilter ref="B67:M72"/>
  <tableColumns count="12">
    <tableColumn id="2" name="Newtonsoft" totalsRowFunction="custom">
      <totalsRowFormula>AverageNumbers[](Table73[Newtonsoft])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AverageNumbers[](Table73[Jil])</totalsRowFormula>
    </tableColumn>
    <tableColumn id="10" name="NetJSON"/>
    <tableColumn id="15" name="Jackson"/>
    <tableColumn id="6" name="DSL Platform Java" totalsRowFunction="custom">
      <totalsRowFormula>AverageNumbers[](Table73[DSL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72" name="Table72" displayName="Table72" ref="B51:M56">
  <autoFilter ref="B51:M56"/>
  <tableColumns count="12">
    <tableColumn id="2" name="Newtonsoft" totalsRowFunction="custom">
      <totalsRowFormula>AverageNumbers[](Table72[Newtonsoft])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AverageNumbers[](Table72[Jil])</totalsRowFormula>
    </tableColumn>
    <tableColumn id="10" name="NetJSON"/>
    <tableColumn id="15" name="Jackson"/>
    <tableColumn id="6" name="DSL Platform Java" totalsRowFunction="custom">
      <totalsRowFormula>AverageNumbers[](Table72[DSL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76" name="Table76" displayName="Table76" ref="B59:Y64">
  <autoFilter ref="B59:Y64"/>
  <tableColumns count="24">
    <tableColumn id="2" name="Newtonsoft" totalsRowFunction="custom">
      <totalsRowFormula>AverageNumbers[](Table76[Newtonsoft])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AverageNumbers[](Table76[Jil])</totalsRowFormula>
    </tableColumn>
    <tableColumn id="9" name="NetJSON"/>
    <tableColumn id="8" name="Jackson"/>
    <tableColumn id="4" name="DSL Platform Java" totalsRowFunction="custom">
      <totalsRowFormula>AverageNumbers[](Table76[DSL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AverageNumbers[](Table76[Gson])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AverageNumbers[](Table76[Service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80" name="Table80" displayName="Table80" ref="B37:N42" totalsRowShown="0">
  <autoFilter ref="B37:N42"/>
  <tableColumns count="13">
    <tableColumn id="1" name="Average"/>
    <tableColumn id="2" name="Newtonsoft" dataDxfId="119">
      <calculatedColumnFormula>AverageNumbers[](Table76[Newtonsoft])</calculatedColumnFormula>
    </tableColumn>
    <tableColumn id="3" name="Revenj" dataDxfId="118"/>
    <tableColumn id="11" name="fastJSON" dataDxfId="117"/>
    <tableColumn id="4" name="Service Stack" dataDxfId="116"/>
    <tableColumn id="8" name="Jil" dataDxfId="115"/>
    <tableColumn id="7" name="NetJSON" dataDxfId="114"/>
    <tableColumn id="5" name="Jackson afterburner" dataDxfId="113"/>
    <tableColumn id="6" name="DSL Platform Java" dataDxfId="112"/>
    <tableColumn id="9" name="Genson" dataDxfId="111"/>
    <tableColumn id="13" name="Boon" dataDxfId="110"/>
    <tableColumn id="12" name="Alibaba" dataDxfId="109"/>
    <tableColumn id="10" name="Gson" dataDxfId="108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79" name="Table79" displayName="Table79" ref="B46:N48" totalsRowShown="0">
  <autoFilter ref="B46:N48"/>
  <tableColumns count="13">
    <tableColumn id="1" name="Deviation"/>
    <tableColumn id="2" name="Newtonsoft" dataDxfId="107">
      <calculatedColumnFormula>AverageNumbers[](Table76[Newtonsoft])</calculatedColumnFormula>
    </tableColumn>
    <tableColumn id="3" name="Revenj" dataDxfId="106"/>
    <tableColumn id="11" name="fastJSON" dataDxfId="105"/>
    <tableColumn id="4" name="Service Stack" dataDxfId="104"/>
    <tableColumn id="5" name="Jil" dataDxfId="103">
      <calculatedColumnFormula>DEVSQ(Table76[Jil])</calculatedColumnFormula>
    </tableColumn>
    <tableColumn id="6" name="NetJSON" dataDxfId="102">
      <calculatedColumnFormula>DEVSQ(Table78[NetJSON])</calculatedColumnFormula>
    </tableColumn>
    <tableColumn id="7" name="Jackson afterburner" dataDxfId="101"/>
    <tableColumn id="8" name="DSL Platform Java" dataDxfId="100"/>
    <tableColumn id="9" name="Genson" dataDxfId="99"/>
    <tableColumn id="13" name="Boon" dataDxfId="98"/>
    <tableColumn id="12" name="Alibaba" dataDxfId="97"/>
    <tableColumn id="10" name="Gson" dataDxfId="96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78" name="Table78" displayName="Table78" ref="B67:M72">
  <autoFilter ref="B67:M72"/>
  <tableColumns count="12">
    <tableColumn id="2" name="Newtonsoft" totalsRowFunction="custom">
      <totalsRowFormula>AverageNumbers[](Table78[Newtonsoft])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AverageNumbers[](Table78[Jil])</totalsRowFormula>
    </tableColumn>
    <tableColumn id="10" name="NetJSON"/>
    <tableColumn id="15" name="Jackson"/>
    <tableColumn id="6" name="DSL Platform Java" totalsRowFunction="custom">
      <totalsRowFormula>AverageNumbers[](Table78[DSL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0" name="Table20" displayName="Table20" ref="B37:N42" totalsRowShown="0">
  <autoFilter ref="B37:N42"/>
  <tableColumns count="13">
    <tableColumn id="1" name="Average"/>
    <tableColumn id="2" name="Newtonsoft" dataDxfId="407">
      <calculatedColumnFormula>AverageNumbers[](Table16[Newtonsoft])</calculatedColumnFormula>
    </tableColumn>
    <tableColumn id="3" name="Revenj" dataDxfId="406"/>
    <tableColumn id="11" name="fastJSON" dataDxfId="405"/>
    <tableColumn id="4" name="Service Stack" dataDxfId="404"/>
    <tableColumn id="8" name="Jil" dataDxfId="403"/>
    <tableColumn id="7" name="NetJSON" dataDxfId="402"/>
    <tableColumn id="5" name="Jackson afterburner" dataDxfId="401"/>
    <tableColumn id="6" name="DSL Platform Java" dataDxfId="400"/>
    <tableColumn id="9" name="Genson" dataDxfId="399"/>
    <tableColumn id="13" name="Boon" dataDxfId="398"/>
    <tableColumn id="12" name="Alibaba" dataDxfId="397"/>
    <tableColumn id="10" name="Gson" dataDxfId="396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77" name="Table77" displayName="Table77" ref="B51:M56">
  <autoFilter ref="B51:M56"/>
  <tableColumns count="12">
    <tableColumn id="2" name="Newtonsoft" totalsRowFunction="custom">
      <totalsRowFormula>AverageNumbers[](Table77[Newtonsoft])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AverageNumbers[](Table77[Jil])</totalsRowFormula>
    </tableColumn>
    <tableColumn id="10" name="NetJSON"/>
    <tableColumn id="15" name="Jackson"/>
    <tableColumn id="6" name="DSL Platform Java" totalsRowFunction="custom">
      <totalsRowFormula>AverageNumbers[](Table77[DSL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81" name="Table81" displayName="Table81" ref="B59:Y64">
  <autoFilter ref="B59:Y64"/>
  <tableColumns count="24">
    <tableColumn id="2" name="Newtonsoft" totalsRowFunction="custom">
      <totalsRowFormula>AverageNumbers[](Table81[Newtonsoft])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AverageNumbers[](Table81[Jil])</totalsRowFormula>
    </tableColumn>
    <tableColumn id="9" name="NetJSON"/>
    <tableColumn id="8" name="Jackson"/>
    <tableColumn id="4" name="DSL Platform Java" totalsRowFunction="custom">
      <totalsRowFormula>AverageNumbers[](Table81[DSL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AverageNumbers[](Table81[Gson])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AverageNumbers[](Table81[Service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85" name="Table85" displayName="Table85" ref="B37:N42" totalsRowShown="0">
  <autoFilter ref="B37:N42"/>
  <tableColumns count="13">
    <tableColumn id="1" name="Average"/>
    <tableColumn id="2" name="Newtonsoft" dataDxfId="95">
      <calculatedColumnFormula>AverageNumbers[](Table81[Newtonsoft])</calculatedColumnFormula>
    </tableColumn>
    <tableColumn id="3" name="Revenj" dataDxfId="94"/>
    <tableColumn id="11" name="fastJSON" dataDxfId="93"/>
    <tableColumn id="4" name="Service Stack" dataDxfId="92"/>
    <tableColumn id="8" name="Jil" dataDxfId="91"/>
    <tableColumn id="7" name="NetJSON" dataDxfId="90"/>
    <tableColumn id="5" name="Jackson afterburner" dataDxfId="89"/>
    <tableColumn id="6" name="DSL Platform Java" dataDxfId="88"/>
    <tableColumn id="9" name="Genson" dataDxfId="87"/>
    <tableColumn id="13" name="Boon" dataDxfId="86"/>
    <tableColumn id="12" name="Alibaba" dataDxfId="85"/>
    <tableColumn id="10" name="Gson" dataDxfId="84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84" name="Table84" displayName="Table84" ref="B46:N48" totalsRowShown="0">
  <autoFilter ref="B46:N48"/>
  <tableColumns count="13">
    <tableColumn id="1" name="Deviation"/>
    <tableColumn id="2" name="Newtonsoft" dataDxfId="83">
      <calculatedColumnFormula>AverageNumbers[](Table81[Newtonsoft])</calculatedColumnFormula>
    </tableColumn>
    <tableColumn id="3" name="Revenj" dataDxfId="82"/>
    <tableColumn id="11" name="fastJSON" dataDxfId="81"/>
    <tableColumn id="4" name="Service Stack" dataDxfId="80"/>
    <tableColumn id="5" name="Jil" dataDxfId="79">
      <calculatedColumnFormula>DEVSQ(Table81[Jil])</calculatedColumnFormula>
    </tableColumn>
    <tableColumn id="6" name="NetJSON" dataDxfId="78">
      <calculatedColumnFormula>DEVSQ(Table83[NetJSON])</calculatedColumnFormula>
    </tableColumn>
    <tableColumn id="7" name="Jackson afterburner" dataDxfId="77"/>
    <tableColumn id="8" name="DSL Platform Java" dataDxfId="76"/>
    <tableColumn id="9" name="Genson" dataDxfId="75"/>
    <tableColumn id="13" name="Boon" dataDxfId="74"/>
    <tableColumn id="12" name="Alibaba" dataDxfId="73"/>
    <tableColumn id="10" name="Gson" dataDxfId="72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83" name="Table83" displayName="Table83" ref="B67:M72">
  <autoFilter ref="B67:M72"/>
  <tableColumns count="12">
    <tableColumn id="2" name="Newtonsoft" totalsRowFunction="custom">
      <totalsRowFormula>AverageNumbers[](Table83[Newtonsoft])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AverageNumbers[](Table83[Jil])</totalsRowFormula>
    </tableColumn>
    <tableColumn id="10" name="NetJSON"/>
    <tableColumn id="15" name="Jackson"/>
    <tableColumn id="6" name="DSL Platform Java" totalsRowFunction="custom">
      <totalsRowFormula>AverageNumbers[](Table83[DSL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82" name="Table82" displayName="Table82" ref="B51:M56">
  <autoFilter ref="B51:M56"/>
  <tableColumns count="12">
    <tableColumn id="2" name="Newtonsoft" totalsRowFunction="custom">
      <totalsRowFormula>AverageNumbers[](Table82[Newtonsoft])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AverageNumbers[](Table82[Jil])</totalsRowFormula>
    </tableColumn>
    <tableColumn id="10" name="NetJSON"/>
    <tableColumn id="15" name="Jackson"/>
    <tableColumn id="6" name="DSL Platform Java" totalsRowFunction="custom">
      <totalsRowFormula>AverageNumbers[](Table82[DSL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86" name="Table86" displayName="Table86" ref="B59:Y64">
  <autoFilter ref="B59:Y64"/>
  <tableColumns count="24">
    <tableColumn id="2" name="Newtonsoft" totalsRowFunction="custom">
      <totalsRowFormula>AverageNumbers[](Table86[Newtonsoft])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AverageNumbers[](Table86[Jil])</totalsRowFormula>
    </tableColumn>
    <tableColumn id="9" name="NetJSON"/>
    <tableColumn id="8" name="Jackson"/>
    <tableColumn id="4" name="DSL Platform Java" totalsRowFunction="custom">
      <totalsRowFormula>AverageNumbers[](Table86[DSL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AverageNumbers[](Table86[Gson])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AverageNumbers[](Table86[Service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90" name="Table90" displayName="Table90" ref="B37:N42" totalsRowShown="0">
  <autoFilter ref="B37:N42"/>
  <tableColumns count="13">
    <tableColumn id="1" name="Average"/>
    <tableColumn id="2" name="Newtonsoft" dataDxfId="71">
      <calculatedColumnFormula>AverageNumbers[](Table86[Newtonsoft])</calculatedColumnFormula>
    </tableColumn>
    <tableColumn id="3" name="Revenj" dataDxfId="70"/>
    <tableColumn id="11" name="fastJSON" dataDxfId="69"/>
    <tableColumn id="4" name="Service Stack" dataDxfId="68"/>
    <tableColumn id="8" name="Jil" dataDxfId="67"/>
    <tableColumn id="7" name="NetJSON" dataDxfId="66"/>
    <tableColumn id="5" name="Jackson afterburner" dataDxfId="65"/>
    <tableColumn id="6" name="DSL Platform Java" dataDxfId="64"/>
    <tableColumn id="9" name="Genson" dataDxfId="63"/>
    <tableColumn id="13" name="Boon" dataDxfId="62"/>
    <tableColumn id="12" name="Alibaba" dataDxfId="61"/>
    <tableColumn id="10" name="Gson" dataDxfId="60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89" name="Table89" displayName="Table89" ref="B46:N48" totalsRowShown="0">
  <autoFilter ref="B46:N48"/>
  <tableColumns count="13">
    <tableColumn id="1" name="Deviation"/>
    <tableColumn id="2" name="Newtonsoft" dataDxfId="59">
      <calculatedColumnFormula>AverageNumbers[](Table86[Newtonsoft])</calculatedColumnFormula>
    </tableColumn>
    <tableColumn id="3" name="Revenj" dataDxfId="58"/>
    <tableColumn id="11" name="fastJSON" dataDxfId="57"/>
    <tableColumn id="4" name="Service Stack" dataDxfId="56"/>
    <tableColumn id="5" name="Jil" dataDxfId="55">
      <calculatedColumnFormula>DEVSQ(Table86[Jil])</calculatedColumnFormula>
    </tableColumn>
    <tableColumn id="6" name="NetJSON" dataDxfId="54">
      <calculatedColumnFormula>DEVSQ(Table88[NetJSON])</calculatedColumnFormula>
    </tableColumn>
    <tableColumn id="7" name="Jackson afterburner" dataDxfId="53"/>
    <tableColumn id="8" name="DSL Platform Java" dataDxfId="52"/>
    <tableColumn id="9" name="Genson" dataDxfId="51"/>
    <tableColumn id="13" name="Boon" dataDxfId="50"/>
    <tableColumn id="12" name="Alibaba" dataDxfId="49"/>
    <tableColumn id="10" name="Gson" dataDxfId="48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88" name="Table88" displayName="Table88" ref="B67:M72">
  <autoFilter ref="B67:M72"/>
  <tableColumns count="12">
    <tableColumn id="2" name="Newtonsoft" totalsRowFunction="custom">
      <totalsRowFormula>AverageNumbers[](Table88[Newtonsoft])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AverageNumbers[](Table88[Jil])</totalsRowFormula>
    </tableColumn>
    <tableColumn id="10" name="NetJSON"/>
    <tableColumn id="15" name="Jackson"/>
    <tableColumn id="6" name="DSL Platform Java" totalsRowFunction="custom">
      <totalsRowFormula>AverageNumbers[](Table88[DSL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9" name="Table19" displayName="Table19" ref="B46:N48" totalsRowShown="0">
  <autoFilter ref="B46:N48"/>
  <tableColumns count="13">
    <tableColumn id="1" name="Deviation"/>
    <tableColumn id="2" name="Newtonsoft" dataDxfId="395">
      <calculatedColumnFormula>AverageNumbers[](Table16[Newtonsoft])</calculatedColumnFormula>
    </tableColumn>
    <tableColumn id="3" name="Revenj" dataDxfId="394"/>
    <tableColumn id="11" name="fastJSON" dataDxfId="393"/>
    <tableColumn id="4" name="Service Stack" dataDxfId="392"/>
    <tableColumn id="5" name="Jil" dataDxfId="391">
      <calculatedColumnFormula>DEVSQ(Table16[Jil])</calculatedColumnFormula>
    </tableColumn>
    <tableColumn id="6" name="NetJSON" dataDxfId="390">
      <calculatedColumnFormula>DEVSQ(Table18[NetJSON])</calculatedColumnFormula>
    </tableColumn>
    <tableColumn id="7" name="Jackson afterburner" dataDxfId="389"/>
    <tableColumn id="8" name="DSL Platform Java" dataDxfId="388"/>
    <tableColumn id="9" name="Genson" dataDxfId="387"/>
    <tableColumn id="13" name="Boon" dataDxfId="386"/>
    <tableColumn id="12" name="Alibaba" dataDxfId="385"/>
    <tableColumn id="10" name="Gson" dataDxfId="384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87" name="Table87" displayName="Table87" ref="B51:M56">
  <autoFilter ref="B51:M56"/>
  <tableColumns count="12">
    <tableColumn id="2" name="Newtonsoft" totalsRowFunction="custom">
      <totalsRowFormula>AverageNumbers[](Table87[Newtonsoft])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AverageNumbers[](Table87[Jil])</totalsRowFormula>
    </tableColumn>
    <tableColumn id="10" name="NetJSON"/>
    <tableColumn id="15" name="Jackson"/>
    <tableColumn id="6" name="DSL Platform Java" totalsRowFunction="custom">
      <totalsRowFormula>AverageNumbers[](Table87[DSL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91" name="Table91" displayName="Table91" ref="B59:Y64">
  <autoFilter ref="B59:Y64"/>
  <tableColumns count="24">
    <tableColumn id="2" name="Newtonsoft" totalsRowFunction="custom">
      <totalsRowFormula>AverageNumbers[](Table91[Newtonsoft])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AverageNumbers[](Table91[Jil])</totalsRowFormula>
    </tableColumn>
    <tableColumn id="9" name="NetJSON"/>
    <tableColumn id="8" name="Jackson"/>
    <tableColumn id="4" name="DSL Platform Java" totalsRowFunction="custom">
      <totalsRowFormula>AverageNumbers[](Table91[DSL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AverageNumbers[](Table91[Gson])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AverageNumbers[](Table91[Service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95" name="Table95" displayName="Table95" ref="B37:N42" totalsRowShown="0">
  <autoFilter ref="B37:N42"/>
  <tableColumns count="13">
    <tableColumn id="1" name="Average"/>
    <tableColumn id="2" name="Newtonsoft (DSL model)" dataDxfId="47">
      <calculatedColumnFormula>AverageNumbers[](Table91[Newtonsoft])</calculatedColumnFormula>
    </tableColumn>
    <tableColumn id="3" name="Revenj" dataDxfId="46"/>
    <tableColumn id="11" name="fastJSON" dataDxfId="45"/>
    <tableColumn id="4" name="Service Stack" dataDxfId="44"/>
    <tableColumn id="8" name="Jil" dataDxfId="43"/>
    <tableColumn id="7" name="NetJSON" dataDxfId="42"/>
    <tableColumn id="5" name="Jackson afterburner" dataDxfId="41"/>
    <tableColumn id="6" name="DSL Platform Java" dataDxfId="40"/>
    <tableColumn id="9" name="Genson" dataDxfId="39"/>
    <tableColumn id="13" name="Boon" dataDxfId="38"/>
    <tableColumn id="12" name="Alibaba" dataDxfId="37"/>
    <tableColumn id="10" name="Gson" dataDxfId="36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94" name="Table94" displayName="Table94" ref="B46:N48" totalsRowShown="0">
  <autoFilter ref="B46:N48"/>
  <tableColumns count="13">
    <tableColumn id="1" name="Deviation"/>
    <tableColumn id="2" name="Newtonsoft" dataDxfId="35">
      <calculatedColumnFormula>AverageNumbers[](Table91[Newtonsoft])</calculatedColumnFormula>
    </tableColumn>
    <tableColumn id="3" name="Revenj" dataDxfId="34"/>
    <tableColumn id="11" name="fastJSON" dataDxfId="33"/>
    <tableColumn id="4" name="Service Stack" dataDxfId="32"/>
    <tableColumn id="5" name="Jil" dataDxfId="31">
      <calculatedColumnFormula>DEVSQ(Table91[Jil])</calculatedColumnFormula>
    </tableColumn>
    <tableColumn id="6" name="NetJSON" dataDxfId="30">
      <calculatedColumnFormula>DEVSQ(Table93[NetJSON])</calculatedColumnFormula>
    </tableColumn>
    <tableColumn id="7" name="Jackson afterburner" dataDxfId="29"/>
    <tableColumn id="8" name="DSL Platform Java" dataDxfId="28"/>
    <tableColumn id="9" name="Genson" dataDxfId="27"/>
    <tableColumn id="13" name="Boon" dataDxfId="26"/>
    <tableColumn id="12" name="Alibaba" dataDxfId="25"/>
    <tableColumn id="10" name="Gson" dataDxfId="24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93" name="Table93" displayName="Table93" ref="B67:M72">
  <autoFilter ref="B67:M72"/>
  <tableColumns count="12">
    <tableColumn id="2" name="Newtonsoft" totalsRowFunction="custom">
      <totalsRowFormula>AverageNumbers[](Table93[Newtonsoft])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AverageNumbers[](Table93[Jil])</totalsRowFormula>
    </tableColumn>
    <tableColumn id="10" name="NetJSON"/>
    <tableColumn id="15" name="Jackson"/>
    <tableColumn id="6" name="DSL Platform Java" totalsRowFunction="custom">
      <totalsRowFormula>AverageNumbers[](Table93[DSL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92" name="Table92" displayName="Table92" ref="B51:M56">
  <autoFilter ref="B51:M56"/>
  <tableColumns count="12">
    <tableColumn id="2" name="Newtonsoft" totalsRowFunction="custom">
      <totalsRowFormula>AverageNumbers[](Table92[Newtonsoft])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AverageNumbers[](Table92[Jil])</totalsRowFormula>
    </tableColumn>
    <tableColumn id="10" name="NetJSON"/>
    <tableColumn id="15" name="Jackson"/>
    <tableColumn id="6" name="DSL Platform Java" totalsRowFunction="custom">
      <totalsRowFormula>AverageNumbers[](Table92[DSL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96" name="Table96" displayName="Table96" ref="B59:Y64">
  <autoFilter ref="B59:Y64"/>
  <tableColumns count="24">
    <tableColumn id="2" name="Newtonsoft" totalsRowFunction="custom">
      <totalsRowFormula>AverageNumbers[](Table96[Newtonsoft])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AverageNumbers[](Table96[Jil])</totalsRowFormula>
    </tableColumn>
    <tableColumn id="9" name="NetJSON"/>
    <tableColumn id="8" name="Jackson"/>
    <tableColumn id="4" name="DSL Platform Java" totalsRowFunction="custom">
      <totalsRowFormula>AverageNumbers[](Table96[DSL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AverageNumbers[](Table96[Gson])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AverageNumbers[](Table96[Service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100" name="Table100" displayName="Table100" ref="B37:N42" totalsRowShown="0">
  <autoFilter ref="B37:N42"/>
  <tableColumns count="13">
    <tableColumn id="1" name="Average"/>
    <tableColumn id="2" name="Newtonsoft (DSL model)" dataDxfId="23">
      <calculatedColumnFormula>AverageNumbers[](Table96[Newtonsoft])</calculatedColumnFormula>
    </tableColumn>
    <tableColumn id="3" name="Revenj" dataDxfId="22"/>
    <tableColumn id="11" name="fastJSON" dataDxfId="21"/>
    <tableColumn id="4" name="Service Stack" dataDxfId="20"/>
    <tableColumn id="8" name="Jil" dataDxfId="19"/>
    <tableColumn id="7" name="NetJSON" dataDxfId="18"/>
    <tableColumn id="5" name="Jackson afterburner" dataDxfId="17"/>
    <tableColumn id="6" name="DSL Platform Java" dataDxfId="16"/>
    <tableColumn id="9" name="Genson" dataDxfId="15"/>
    <tableColumn id="13" name="Boon" dataDxfId="14"/>
    <tableColumn id="12" name="Alibaba" dataDxfId="13"/>
    <tableColumn id="10" name="Gson" dataDxfId="12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99" name="Table99" displayName="Table99" ref="B46:N48" totalsRowShown="0">
  <autoFilter ref="B46:N48"/>
  <tableColumns count="13">
    <tableColumn id="1" name="Deviation"/>
    <tableColumn id="2" name="Newtonsoft" dataDxfId="11">
      <calculatedColumnFormula>AverageNumbers[](Table96[Newtonsoft])</calculatedColumnFormula>
    </tableColumn>
    <tableColumn id="3" name="Revenj" dataDxfId="10"/>
    <tableColumn id="11" name="fastJSON" dataDxfId="9"/>
    <tableColumn id="4" name="Service Stack" dataDxfId="8"/>
    <tableColumn id="5" name="Jil" dataDxfId="7">
      <calculatedColumnFormula>DEVSQ(Table96[Jil])</calculatedColumnFormula>
    </tableColumn>
    <tableColumn id="6" name="NetJSON" dataDxfId="6">
      <calculatedColumnFormula>DEVSQ(Table98[NetJSON])</calculatedColumnFormula>
    </tableColumn>
    <tableColumn id="7" name="Jackson afterburner" dataDxfId="5"/>
    <tableColumn id="8" name="DSL Platform Java" dataDxfId="4"/>
    <tableColumn id="9" name="Genson" dataDxfId="3"/>
    <tableColumn id="13" name="Boon" dataDxfId="2"/>
    <tableColumn id="12" name="Alibaba" dataDxfId="1"/>
    <tableColumn id="10" name="Gson" dataDxfId="0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98" name="Table98" displayName="Table98" ref="B67:M72">
  <autoFilter ref="B67:M72"/>
  <tableColumns count="12">
    <tableColumn id="2" name="Newtonsoft" totalsRowFunction="custom">
      <totalsRowFormula>AverageNumbers[](Table98[Newtonsoft])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AverageNumbers[](Table98[Jil])</totalsRowFormula>
    </tableColumn>
    <tableColumn id="10" name="NetJSON"/>
    <tableColumn id="15" name="Jackson"/>
    <tableColumn id="6" name="DSL Platform Java" totalsRowFunction="custom">
      <totalsRowFormula>AverageNumbers[](Table98[DSL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8" name="Table18" displayName="Table18" ref="B67:M72">
  <autoFilter ref="B67:M72"/>
  <tableColumns count="12">
    <tableColumn id="2" name="Newtonsoft" totalsRowFunction="custom">
      <totalsRowFormula>AverageNumbers[](Table18[Newtonsoft])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AverageNumbers[](Table18[Jil])</totalsRowFormula>
    </tableColumn>
    <tableColumn id="10" name="NetJSON"/>
    <tableColumn id="15" name="Jackson"/>
    <tableColumn id="6" name="DSL Platform Java" totalsRowFunction="custom">
      <totalsRowFormula>AverageNumbers[](Table18[DSL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97" name="Table97" displayName="Table97" ref="B51:M56">
  <autoFilter ref="B51:M56"/>
  <tableColumns count="12">
    <tableColumn id="2" name="Newtonsoft" totalsRowFunction="custom">
      <totalsRowFormula>AverageNumbers[](Table97[Newtonsoft])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AverageNumbers[](Table97[Jil])</totalsRowFormula>
    </tableColumn>
    <tableColumn id="10" name="NetJSON"/>
    <tableColumn id="15" name="Jackson"/>
    <tableColumn id="6" name="DSL Platform Java" totalsRowFunction="custom">
      <totalsRowFormula>AverageNumbers[](Table97[DSL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0.xml"/><Relationship Id="rId3" Type="http://schemas.openxmlformats.org/officeDocument/2006/relationships/vmlDrawing" Target="../drawings/vmlDrawing3.vml"/><Relationship Id="rId7" Type="http://schemas.openxmlformats.org/officeDocument/2006/relationships/table" Target="../tables/table4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48.xml"/><Relationship Id="rId5" Type="http://schemas.openxmlformats.org/officeDocument/2006/relationships/table" Target="../tables/table47.xml"/><Relationship Id="rId4" Type="http://schemas.openxmlformats.org/officeDocument/2006/relationships/table" Target="../tables/table46.xml"/><Relationship Id="rId9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5.xml"/><Relationship Id="rId3" Type="http://schemas.openxmlformats.org/officeDocument/2006/relationships/vmlDrawing" Target="../drawings/vmlDrawing4.vml"/><Relationship Id="rId7" Type="http://schemas.openxmlformats.org/officeDocument/2006/relationships/table" Target="../tables/table5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53.xml"/><Relationship Id="rId5" Type="http://schemas.openxmlformats.org/officeDocument/2006/relationships/table" Target="../tables/table52.xml"/><Relationship Id="rId4" Type="http://schemas.openxmlformats.org/officeDocument/2006/relationships/table" Target="../tables/table51.xml"/><Relationship Id="rId9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0.xml"/><Relationship Id="rId3" Type="http://schemas.openxmlformats.org/officeDocument/2006/relationships/vmlDrawing" Target="../drawings/vmlDrawing5.vml"/><Relationship Id="rId7" Type="http://schemas.openxmlformats.org/officeDocument/2006/relationships/table" Target="../tables/table59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58.xml"/><Relationship Id="rId5" Type="http://schemas.openxmlformats.org/officeDocument/2006/relationships/table" Target="../tables/table57.xml"/><Relationship Id="rId4" Type="http://schemas.openxmlformats.org/officeDocument/2006/relationships/table" Target="../tables/table56.xml"/><Relationship Id="rId9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5.xml"/><Relationship Id="rId3" Type="http://schemas.openxmlformats.org/officeDocument/2006/relationships/vmlDrawing" Target="../drawings/vmlDrawing6.vml"/><Relationship Id="rId7" Type="http://schemas.openxmlformats.org/officeDocument/2006/relationships/table" Target="../tables/table64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63.xml"/><Relationship Id="rId5" Type="http://schemas.openxmlformats.org/officeDocument/2006/relationships/table" Target="../tables/table62.xml"/><Relationship Id="rId4" Type="http://schemas.openxmlformats.org/officeDocument/2006/relationships/table" Target="../tables/table61.xml"/><Relationship Id="rId9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0.xml"/><Relationship Id="rId3" Type="http://schemas.openxmlformats.org/officeDocument/2006/relationships/vmlDrawing" Target="../drawings/vmlDrawing7.vml"/><Relationship Id="rId7" Type="http://schemas.openxmlformats.org/officeDocument/2006/relationships/table" Target="../tables/table69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68.xml"/><Relationship Id="rId5" Type="http://schemas.openxmlformats.org/officeDocument/2006/relationships/table" Target="../tables/table67.xml"/><Relationship Id="rId4" Type="http://schemas.openxmlformats.org/officeDocument/2006/relationships/table" Target="../tables/table66.xml"/><Relationship Id="rId9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5.xml"/><Relationship Id="rId3" Type="http://schemas.openxmlformats.org/officeDocument/2006/relationships/vmlDrawing" Target="../drawings/vmlDrawing8.vml"/><Relationship Id="rId7" Type="http://schemas.openxmlformats.org/officeDocument/2006/relationships/table" Target="../tables/table74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73.xml"/><Relationship Id="rId5" Type="http://schemas.openxmlformats.org/officeDocument/2006/relationships/table" Target="../tables/table72.xml"/><Relationship Id="rId4" Type="http://schemas.openxmlformats.org/officeDocument/2006/relationships/table" Target="../tables/table71.xml"/><Relationship Id="rId9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0.xml"/><Relationship Id="rId3" Type="http://schemas.openxmlformats.org/officeDocument/2006/relationships/vmlDrawing" Target="../drawings/vmlDrawing9.vml"/><Relationship Id="rId7" Type="http://schemas.openxmlformats.org/officeDocument/2006/relationships/table" Target="../tables/table79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table" Target="../tables/table78.xml"/><Relationship Id="rId5" Type="http://schemas.openxmlformats.org/officeDocument/2006/relationships/table" Target="../tables/table77.xml"/><Relationship Id="rId4" Type="http://schemas.openxmlformats.org/officeDocument/2006/relationships/table" Target="../tables/table76.xml"/><Relationship Id="rId9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5.xml"/><Relationship Id="rId3" Type="http://schemas.openxmlformats.org/officeDocument/2006/relationships/vmlDrawing" Target="../drawings/vmlDrawing10.vml"/><Relationship Id="rId7" Type="http://schemas.openxmlformats.org/officeDocument/2006/relationships/table" Target="../tables/table84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table" Target="../tables/table83.xml"/><Relationship Id="rId5" Type="http://schemas.openxmlformats.org/officeDocument/2006/relationships/table" Target="../tables/table82.xml"/><Relationship Id="rId4" Type="http://schemas.openxmlformats.org/officeDocument/2006/relationships/table" Target="../tables/table81.xml"/><Relationship Id="rId9" Type="http://schemas.openxmlformats.org/officeDocument/2006/relationships/comments" Target="../comments1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0.xml"/><Relationship Id="rId3" Type="http://schemas.openxmlformats.org/officeDocument/2006/relationships/vmlDrawing" Target="../drawings/vmlDrawing11.vml"/><Relationship Id="rId7" Type="http://schemas.openxmlformats.org/officeDocument/2006/relationships/table" Target="../tables/table89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table" Target="../tables/table88.xml"/><Relationship Id="rId5" Type="http://schemas.openxmlformats.org/officeDocument/2006/relationships/table" Target="../tables/table87.xml"/><Relationship Id="rId4" Type="http://schemas.openxmlformats.org/officeDocument/2006/relationships/table" Target="../tables/table86.xml"/><Relationship Id="rId9" Type="http://schemas.openxmlformats.org/officeDocument/2006/relationships/comments" Target="../comments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7" Type="http://schemas.openxmlformats.org/officeDocument/2006/relationships/table" Target="../tables/table2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3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8.xml"/><Relationship Id="rId5" Type="http://schemas.openxmlformats.org/officeDocument/2006/relationships/table" Target="../tables/table37.xml"/><Relationship Id="rId4" Type="http://schemas.openxmlformats.org/officeDocument/2006/relationships/table" Target="../tables/table36.xml"/><Relationship Id="rId9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5.xml"/><Relationship Id="rId3" Type="http://schemas.openxmlformats.org/officeDocument/2006/relationships/vmlDrawing" Target="../drawings/vmlDrawing2.vml"/><Relationship Id="rId7" Type="http://schemas.openxmlformats.org/officeDocument/2006/relationships/table" Target="../tables/table4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43.xml"/><Relationship Id="rId5" Type="http://schemas.openxmlformats.org/officeDocument/2006/relationships/table" Target="../tables/table42.xml"/><Relationship Id="rId4" Type="http://schemas.openxmlformats.org/officeDocument/2006/relationships/table" Target="../tables/table41.x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2"/>
  <sheetViews>
    <sheetView tabSelected="1"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35</v>
      </c>
    </row>
    <row r="37" spans="2:17" x14ac:dyDescent="0.25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AVERAGE(Instance[Newtonsoft])</f>
        <v>168.4</v>
      </c>
      <c r="D38" s="2">
        <f>AVERAGE(Instance[Revenj])</f>
        <v>181.4</v>
      </c>
      <c r="E38" s="2">
        <f>AVERAGE(Instance[fastJSON])</f>
        <v>172.8</v>
      </c>
      <c r="F38" s="2">
        <f>AVERAGE(Instance[Service Stack])</f>
        <v>168.4</v>
      </c>
      <c r="G38" s="2">
        <f>AVERAGE(Instance[Jil])</f>
        <v>168.8</v>
      </c>
      <c r="H38" s="2">
        <f>AVERAGE(Instance[NetJSON])</f>
        <v>168.2</v>
      </c>
      <c r="I38" s="2">
        <f>AVERAGE(Instance[Jackson])</f>
        <v>0.8</v>
      </c>
      <c r="J38" s="2">
        <f>AVERAGE(Instance[DSL Platform Java])</f>
        <v>1</v>
      </c>
      <c r="K38" s="2">
        <f>AVERAGE(Instance[Genson])</f>
        <v>0.8</v>
      </c>
      <c r="L38" s="2">
        <f>AVERAGE(Instance[Boon])</f>
        <v>1</v>
      </c>
      <c r="M38" s="2">
        <f>AVERAGE(Instance[Alibaba])</f>
        <v>1</v>
      </c>
      <c r="N38" s="2">
        <f>AVERAGE(Instance[Gson])</f>
        <v>1</v>
      </c>
      <c r="O38" s="2"/>
      <c r="P38" s="2"/>
      <c r="Q38" s="2"/>
    </row>
    <row r="39" spans="2:17" x14ac:dyDescent="0.25">
      <c r="B39" t="s">
        <v>0</v>
      </c>
      <c r="C39" s="2">
        <f>AVERAGE(Serialization[Newtonsoft]) - C38</f>
        <v>74</v>
      </c>
      <c r="D39" s="2">
        <f>AVERAGE(Serialization[Revenj]) - D38</f>
        <v>2.5999999999999943</v>
      </c>
      <c r="E39" s="2">
        <f>AVERAGE(Serialization[fastJSON]) - E38</f>
        <v>7.5999999999999943</v>
      </c>
      <c r="F39" s="2">
        <f>AVERAGE(Serialization[Service Stack]) - F38</f>
        <v>121.79999999999998</v>
      </c>
      <c r="G39" s="2">
        <f>AVERAGE(Serialization[Jil]) - G38</f>
        <v>164.2</v>
      </c>
      <c r="H39" s="2">
        <f>AVERAGE(Serialization[NetJSON]) - H38</f>
        <v>53</v>
      </c>
      <c r="I39" s="2">
        <f>AVERAGE(Serialization[Jackson]) - I38</f>
        <v>63.400000000000006</v>
      </c>
      <c r="J39" s="2">
        <f>AVERAGE(Serialization[DSL Platform Java]) - J38</f>
        <v>0</v>
      </c>
      <c r="K39" s="2">
        <f>AVERAGE(Serialization[Genson]) - K38</f>
        <v>41.800000000000004</v>
      </c>
      <c r="L39" s="2">
        <f>AVERAGE(Serialization[Boon]) - L38</f>
        <v>66.8</v>
      </c>
      <c r="M39" s="2">
        <f>AVERAGE(Serialization[Alibaba]) - M38</f>
        <v>113.4</v>
      </c>
      <c r="N39" s="2">
        <f>AVERAGE(Serialization[Gson]) - N38</f>
        <v>24.8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14.999999999999972</v>
      </c>
      <c r="D40" s="2">
        <f t="shared" si="0"/>
        <v>7.5999999999999943</v>
      </c>
      <c r="E40" s="2">
        <f t="shared" ref="E40" si="1">E41 - E39 - E38</f>
        <v>8.1999999999999886</v>
      </c>
      <c r="F40" s="2">
        <f t="shared" si="0"/>
        <v>10</v>
      </c>
      <c r="G40" s="2">
        <f t="shared" si="0"/>
        <v>65.800000000000011</v>
      </c>
      <c r="H40" s="2">
        <f t="shared" si="0"/>
        <v>1.2000000000000171</v>
      </c>
      <c r="I40" s="2">
        <f t="shared" ref="I40" si="2">I41 - I39 - I38</f>
        <v>35.799999999999997</v>
      </c>
      <c r="J40" s="2">
        <f t="shared" ref="J40" si="3">J41 - J39 - J38</f>
        <v>2</v>
      </c>
      <c r="K40" s="2">
        <f t="shared" ref="K40:L40" si="4">K41 - K39 - K38</f>
        <v>3.5999999999999988</v>
      </c>
      <c r="L40" s="2">
        <f t="shared" si="4"/>
        <v>33</v>
      </c>
      <c r="M40" s="2">
        <f t="shared" ref="M40" si="5">M41 - M39 - M38</f>
        <v>20.400000000000006</v>
      </c>
      <c r="N40" s="2">
        <f t="shared" ref="N40" si="6">N41 - N39 - N38</f>
        <v>2.1999999999999993</v>
      </c>
      <c r="O40" s="2"/>
      <c r="P40" s="2"/>
      <c r="Q40" s="2"/>
    </row>
    <row r="41" spans="2:17" x14ac:dyDescent="0.25">
      <c r="B41" t="s">
        <v>25</v>
      </c>
      <c r="C41" s="2">
        <f>AVERAGE(Both[Newtonsoft])</f>
        <v>257.39999999999998</v>
      </c>
      <c r="D41" s="2">
        <f>AVERAGE(Both[Revenj])</f>
        <v>191.6</v>
      </c>
      <c r="E41" s="2">
        <f>AVERAGE(Both[fastJSON])</f>
        <v>188.6</v>
      </c>
      <c r="F41" s="2">
        <f>AVERAGE(Both[Service Stack])</f>
        <v>300.2</v>
      </c>
      <c r="G41" s="2">
        <f>AVERAGE(Both[Jil])</f>
        <v>398.8</v>
      </c>
      <c r="H41" s="2">
        <f>AVERAGE(Both[NetJSON])</f>
        <v>222.4</v>
      </c>
      <c r="I41" s="2">
        <f>AVERAGE(Both[Jackson])</f>
        <v>100</v>
      </c>
      <c r="J41" s="2">
        <f>AVERAGE(Both[DSL Platform Java])</f>
        <v>3</v>
      </c>
      <c r="K41" s="2">
        <f>AVERAGE(Both[Genson])</f>
        <v>46.2</v>
      </c>
      <c r="L41" s="2">
        <f>AVERAGE(Both[Boon])</f>
        <v>100.8</v>
      </c>
      <c r="M41" s="2">
        <f>AVERAGE(Both[Alibaba])</f>
        <v>134.80000000000001</v>
      </c>
      <c r="N41" s="2">
        <f>AVERAGE(Both[Gson])</f>
        <v>28</v>
      </c>
      <c r="O41" s="2"/>
      <c r="P41" s="2"/>
      <c r="Q41" s="2"/>
    </row>
    <row r="42" spans="2:17" x14ac:dyDescent="0.25">
      <c r="B42" t="s">
        <v>4</v>
      </c>
      <c r="C42" s="3">
        <f>AVERAGE(Serialization[Newtonsoft (size)])</f>
        <v>40</v>
      </c>
      <c r="D42" s="3">
        <f>AVERAGE(Serialization[Revenj (size)])</f>
        <v>28</v>
      </c>
      <c r="E42" s="3">
        <f>AVERAGE(Serialization[fastJSON (size)])</f>
        <v>40</v>
      </c>
      <c r="F42" s="3">
        <f>AVERAGE(Serialization[Service Stack (size)])</f>
        <v>40</v>
      </c>
      <c r="G42" s="2">
        <f>AVERAGE(Serialization[Jil (size)])</f>
        <v>40</v>
      </c>
      <c r="H42" s="2">
        <f>AVERAGE(Serialization[NetJSON (size)])</f>
        <v>28</v>
      </c>
      <c r="I42" s="2">
        <f>AVERAGE(Serialization[Jackson (size)])</f>
        <v>28</v>
      </c>
      <c r="J42" s="2">
        <f>AVERAGE(Serialization[DSL Platform Java (size)])</f>
        <v>28</v>
      </c>
      <c r="K42" s="2">
        <f>AVERAGE(Serialization[Genson (size)])</f>
        <v>40</v>
      </c>
      <c r="L42" s="2">
        <f>AVERAGE(Serialization[Boon (size)])</f>
        <v>28</v>
      </c>
      <c r="M42" s="2">
        <f>AVERAGE(Serialization[Alibaba (size)])</f>
        <v>40</v>
      </c>
      <c r="N42" s="2">
        <f>AVERAGE(Serialization[Gson (size)])</f>
        <v>40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DEVSQ(Serialization[Newtonsoft])</f>
        <v>1.2</v>
      </c>
      <c r="D47" s="2">
        <f>DEVSQ(Serialization[Revenj])</f>
        <v>2</v>
      </c>
      <c r="E47" s="2">
        <f>DEVSQ(Serialization[fastJSON])</f>
        <v>1.2</v>
      </c>
      <c r="F47" s="2">
        <f>DEVSQ(Serialization[Service Stack])</f>
        <v>594.79999999999995</v>
      </c>
      <c r="G47" s="2">
        <f>DEVSQ(Serialization[Jil])</f>
        <v>0</v>
      </c>
      <c r="H47" s="2">
        <f>DEVSQ(Serialization[NetJSON])</f>
        <v>2.8</v>
      </c>
      <c r="I47" s="2">
        <f>DEVSQ(Serialization[Jackson])</f>
        <v>2.8</v>
      </c>
      <c r="J47" s="2">
        <f>DEVSQ(Serialization[DSL Platform Java])</f>
        <v>0</v>
      </c>
      <c r="K47" s="2">
        <f>DEVSQ(Serialization[Genson])</f>
        <v>1.2</v>
      </c>
      <c r="L47" s="2">
        <f>DEVSQ(Serialization[Boon])</f>
        <v>0.8</v>
      </c>
      <c r="M47" s="2">
        <f>DEVSQ(Serialization[Alibaba])</f>
        <v>3.2</v>
      </c>
      <c r="N47" s="2">
        <f>DEVSQ(Serialization[Gson])</f>
        <v>0.8</v>
      </c>
      <c r="O47" s="2"/>
      <c r="P47" s="2"/>
      <c r="Q47" s="2"/>
    </row>
    <row r="48" spans="2:17" x14ac:dyDescent="0.25">
      <c r="B48" t="s">
        <v>25</v>
      </c>
      <c r="C48" s="2">
        <f>DEVSQ(Both[Newtonsoft])</f>
        <v>1.2000000000000002</v>
      </c>
      <c r="D48" s="2">
        <f>DEVSQ(Both[Revenj])</f>
        <v>1.2</v>
      </c>
      <c r="E48" s="2">
        <f>DEVSQ(Both[fastJSON])</f>
        <v>3.2</v>
      </c>
      <c r="F48" s="2">
        <f>DEVSQ(Both[Service Stack])</f>
        <v>2.8000000000000003</v>
      </c>
      <c r="G48" s="2">
        <f>DEVSQ(Both[Jil])</f>
        <v>8.8000000000000007</v>
      </c>
      <c r="H48" s="2">
        <f>DEVSQ(Both[NetJSON])</f>
        <v>1.2</v>
      </c>
      <c r="I48" s="2">
        <f>DEVSQ(Both[Jackson])</f>
        <v>2</v>
      </c>
      <c r="J48" s="2">
        <f>DEVSQ(Both[DSL Platform Java])</f>
        <v>12</v>
      </c>
      <c r="K48" s="2">
        <f>DEVSQ(Both[Genson])</f>
        <v>0.8</v>
      </c>
      <c r="L48" s="2">
        <f>DEVSQ(Both[Boon])</f>
        <v>8.7999999999999989</v>
      </c>
      <c r="M48" s="2">
        <f>DEVSQ(Both[Alibaba])</f>
        <v>22.8</v>
      </c>
      <c r="N48" s="2">
        <f>DEVSQ(Both[Gson])</f>
        <v>0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168</v>
      </c>
      <c r="C52">
        <v>181</v>
      </c>
      <c r="D52">
        <v>174</v>
      </c>
      <c r="E52">
        <v>168</v>
      </c>
      <c r="F52">
        <v>168</v>
      </c>
      <c r="G52">
        <v>169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2:25" x14ac:dyDescent="0.25">
      <c r="B53">
        <v>168</v>
      </c>
      <c r="C53">
        <v>181</v>
      </c>
      <c r="D53">
        <v>172</v>
      </c>
      <c r="E53">
        <v>168</v>
      </c>
      <c r="F53">
        <v>170</v>
      </c>
      <c r="G53">
        <v>169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</row>
    <row r="54" spans="2:25" x14ac:dyDescent="0.25">
      <c r="B54">
        <v>169</v>
      </c>
      <c r="C54">
        <v>181</v>
      </c>
      <c r="D54">
        <v>172</v>
      </c>
      <c r="E54">
        <v>169</v>
      </c>
      <c r="F54">
        <v>169</v>
      </c>
      <c r="G54">
        <v>168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</row>
    <row r="55" spans="2:25" x14ac:dyDescent="0.25">
      <c r="B55">
        <v>168</v>
      </c>
      <c r="C55">
        <v>182</v>
      </c>
      <c r="D55">
        <v>174</v>
      </c>
      <c r="E55">
        <v>168</v>
      </c>
      <c r="F55">
        <v>168</v>
      </c>
      <c r="G55">
        <v>168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</row>
    <row r="56" spans="2:25" x14ac:dyDescent="0.25">
      <c r="B56">
        <v>169</v>
      </c>
      <c r="C56">
        <v>182</v>
      </c>
      <c r="D56">
        <v>172</v>
      </c>
      <c r="E56">
        <v>169</v>
      </c>
      <c r="F56">
        <v>169</v>
      </c>
      <c r="G56">
        <v>167</v>
      </c>
      <c r="H56">
        <v>0</v>
      </c>
      <c r="I56">
        <v>1</v>
      </c>
      <c r="J56">
        <v>0</v>
      </c>
      <c r="K56">
        <v>1</v>
      </c>
      <c r="L56">
        <v>1</v>
      </c>
      <c r="M56">
        <v>1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242</v>
      </c>
      <c r="C60">
        <v>183</v>
      </c>
      <c r="D60">
        <v>180</v>
      </c>
      <c r="E60">
        <v>312</v>
      </c>
      <c r="F60">
        <v>333</v>
      </c>
      <c r="G60">
        <v>221</v>
      </c>
      <c r="H60">
        <v>64</v>
      </c>
      <c r="I60">
        <v>1</v>
      </c>
      <c r="J60">
        <v>43</v>
      </c>
      <c r="K60">
        <v>68</v>
      </c>
      <c r="L60">
        <v>114</v>
      </c>
      <c r="M60">
        <v>26</v>
      </c>
      <c r="N60">
        <v>40</v>
      </c>
      <c r="O60">
        <v>28</v>
      </c>
      <c r="P60">
        <v>40</v>
      </c>
      <c r="Q60">
        <v>40</v>
      </c>
      <c r="R60">
        <v>40</v>
      </c>
      <c r="S60">
        <v>28</v>
      </c>
      <c r="T60">
        <v>28</v>
      </c>
      <c r="U60">
        <v>28</v>
      </c>
      <c r="V60">
        <v>40</v>
      </c>
      <c r="W60">
        <v>28</v>
      </c>
      <c r="X60">
        <v>40</v>
      </c>
      <c r="Y60">
        <v>40</v>
      </c>
    </row>
    <row r="61" spans="2:25" x14ac:dyDescent="0.25">
      <c r="B61">
        <v>242</v>
      </c>
      <c r="C61">
        <v>185</v>
      </c>
      <c r="D61">
        <v>180</v>
      </c>
      <c r="E61">
        <v>285</v>
      </c>
      <c r="F61">
        <v>333</v>
      </c>
      <c r="G61">
        <v>222</v>
      </c>
      <c r="H61">
        <v>64</v>
      </c>
      <c r="I61">
        <v>1</v>
      </c>
      <c r="J61">
        <v>42</v>
      </c>
      <c r="K61">
        <v>68</v>
      </c>
      <c r="L61">
        <v>114</v>
      </c>
      <c r="M61">
        <v>26</v>
      </c>
      <c r="N61">
        <v>40</v>
      </c>
      <c r="O61">
        <v>28</v>
      </c>
      <c r="P61">
        <v>40</v>
      </c>
      <c r="Q61">
        <v>40</v>
      </c>
      <c r="R61">
        <v>40</v>
      </c>
      <c r="S61">
        <v>28</v>
      </c>
      <c r="T61">
        <v>28</v>
      </c>
      <c r="U61">
        <v>28</v>
      </c>
      <c r="V61">
        <v>40</v>
      </c>
      <c r="W61">
        <v>28</v>
      </c>
      <c r="X61">
        <v>40</v>
      </c>
      <c r="Y61">
        <v>40</v>
      </c>
    </row>
    <row r="62" spans="2:25" x14ac:dyDescent="0.25">
      <c r="B62">
        <v>242</v>
      </c>
      <c r="C62">
        <v>184</v>
      </c>
      <c r="D62">
        <v>181</v>
      </c>
      <c r="E62">
        <v>285</v>
      </c>
      <c r="F62">
        <v>333</v>
      </c>
      <c r="G62">
        <v>222</v>
      </c>
      <c r="H62">
        <v>65</v>
      </c>
      <c r="I62">
        <v>1</v>
      </c>
      <c r="J62">
        <v>42</v>
      </c>
      <c r="K62">
        <v>67</v>
      </c>
      <c r="L62">
        <v>114</v>
      </c>
      <c r="M62">
        <v>26</v>
      </c>
      <c r="N62">
        <v>40</v>
      </c>
      <c r="O62">
        <v>28</v>
      </c>
      <c r="P62">
        <v>40</v>
      </c>
      <c r="Q62">
        <v>40</v>
      </c>
      <c r="R62">
        <v>40</v>
      </c>
      <c r="S62">
        <v>28</v>
      </c>
      <c r="T62">
        <v>28</v>
      </c>
      <c r="U62">
        <v>28</v>
      </c>
      <c r="V62">
        <v>40</v>
      </c>
      <c r="W62">
        <v>28</v>
      </c>
      <c r="X62">
        <v>40</v>
      </c>
      <c r="Y62">
        <v>40</v>
      </c>
    </row>
    <row r="63" spans="2:25" x14ac:dyDescent="0.25">
      <c r="B63">
        <v>243</v>
      </c>
      <c r="C63">
        <v>184</v>
      </c>
      <c r="D63">
        <v>180</v>
      </c>
      <c r="E63">
        <v>285</v>
      </c>
      <c r="F63">
        <v>333</v>
      </c>
      <c r="G63">
        <v>221</v>
      </c>
      <c r="H63">
        <v>65</v>
      </c>
      <c r="I63">
        <v>1</v>
      </c>
      <c r="J63">
        <v>43</v>
      </c>
      <c r="K63">
        <v>68</v>
      </c>
      <c r="L63">
        <v>114</v>
      </c>
      <c r="M63">
        <v>26</v>
      </c>
      <c r="N63">
        <v>40</v>
      </c>
      <c r="O63">
        <v>28</v>
      </c>
      <c r="P63">
        <v>40</v>
      </c>
      <c r="Q63">
        <v>40</v>
      </c>
      <c r="R63">
        <v>40</v>
      </c>
      <c r="S63">
        <v>28</v>
      </c>
      <c r="T63">
        <v>28</v>
      </c>
      <c r="U63">
        <v>28</v>
      </c>
      <c r="V63">
        <v>40</v>
      </c>
      <c r="W63">
        <v>28</v>
      </c>
      <c r="X63">
        <v>40</v>
      </c>
      <c r="Y63">
        <v>40</v>
      </c>
    </row>
    <row r="64" spans="2:25" x14ac:dyDescent="0.25">
      <c r="B64">
        <v>243</v>
      </c>
      <c r="C64">
        <v>184</v>
      </c>
      <c r="D64">
        <v>181</v>
      </c>
      <c r="E64">
        <v>284</v>
      </c>
      <c r="F64">
        <v>333</v>
      </c>
      <c r="G64">
        <v>220</v>
      </c>
      <c r="H64">
        <v>63</v>
      </c>
      <c r="I64">
        <v>1</v>
      </c>
      <c r="J64">
        <v>43</v>
      </c>
      <c r="K64">
        <v>68</v>
      </c>
      <c r="L64">
        <v>116</v>
      </c>
      <c r="M64">
        <v>25</v>
      </c>
      <c r="N64">
        <v>40</v>
      </c>
      <c r="O64">
        <v>28</v>
      </c>
      <c r="P64">
        <v>40</v>
      </c>
      <c r="Q64">
        <v>40</v>
      </c>
      <c r="R64">
        <v>40</v>
      </c>
      <c r="S64">
        <v>28</v>
      </c>
      <c r="T64">
        <v>28</v>
      </c>
      <c r="U64">
        <v>28</v>
      </c>
      <c r="V64">
        <v>40</v>
      </c>
      <c r="W64">
        <v>28</v>
      </c>
      <c r="X64">
        <v>40</v>
      </c>
      <c r="Y64">
        <v>40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258</v>
      </c>
      <c r="C68">
        <v>191</v>
      </c>
      <c r="D68">
        <v>190</v>
      </c>
      <c r="E68">
        <v>299</v>
      </c>
      <c r="F68">
        <v>397</v>
      </c>
      <c r="G68">
        <v>222</v>
      </c>
      <c r="H68">
        <v>100</v>
      </c>
      <c r="I68">
        <v>6</v>
      </c>
      <c r="J68">
        <v>46</v>
      </c>
      <c r="K68">
        <v>100</v>
      </c>
      <c r="L68">
        <v>134</v>
      </c>
      <c r="M68">
        <v>28</v>
      </c>
    </row>
    <row r="69" spans="2:13" x14ac:dyDescent="0.25">
      <c r="B69">
        <v>257</v>
      </c>
      <c r="C69">
        <v>191</v>
      </c>
      <c r="D69">
        <v>189</v>
      </c>
      <c r="E69">
        <v>301</v>
      </c>
      <c r="F69">
        <v>401</v>
      </c>
      <c r="G69">
        <v>222</v>
      </c>
      <c r="H69">
        <v>99</v>
      </c>
      <c r="I69">
        <v>2</v>
      </c>
      <c r="J69">
        <v>46</v>
      </c>
      <c r="K69">
        <v>99</v>
      </c>
      <c r="L69">
        <v>134</v>
      </c>
      <c r="M69">
        <v>28</v>
      </c>
    </row>
    <row r="70" spans="2:13" x14ac:dyDescent="0.25">
      <c r="B70">
        <v>257</v>
      </c>
      <c r="C70">
        <v>192</v>
      </c>
      <c r="D70">
        <v>188</v>
      </c>
      <c r="E70">
        <v>301</v>
      </c>
      <c r="F70">
        <v>399</v>
      </c>
      <c r="G70">
        <v>222</v>
      </c>
      <c r="H70">
        <v>100</v>
      </c>
      <c r="I70">
        <v>3</v>
      </c>
      <c r="J70">
        <v>47</v>
      </c>
      <c r="K70">
        <v>101</v>
      </c>
      <c r="L70">
        <v>139</v>
      </c>
      <c r="M70">
        <v>28</v>
      </c>
    </row>
    <row r="71" spans="2:13" x14ac:dyDescent="0.25">
      <c r="B71">
        <v>257</v>
      </c>
      <c r="C71">
        <v>192</v>
      </c>
      <c r="D71">
        <v>188</v>
      </c>
      <c r="E71">
        <v>300</v>
      </c>
      <c r="F71">
        <v>399</v>
      </c>
      <c r="G71">
        <v>223</v>
      </c>
      <c r="H71">
        <v>100</v>
      </c>
      <c r="I71">
        <v>2</v>
      </c>
      <c r="J71">
        <v>46</v>
      </c>
      <c r="K71">
        <v>101</v>
      </c>
      <c r="L71">
        <v>134</v>
      </c>
      <c r="M71">
        <v>28</v>
      </c>
    </row>
    <row r="72" spans="2:13" x14ac:dyDescent="0.25">
      <c r="B72">
        <v>258</v>
      </c>
      <c r="C72">
        <v>192</v>
      </c>
      <c r="D72">
        <v>188</v>
      </c>
      <c r="E72">
        <v>300</v>
      </c>
      <c r="F72">
        <v>398</v>
      </c>
      <c r="G72">
        <v>223</v>
      </c>
      <c r="H72">
        <v>101</v>
      </c>
      <c r="I72">
        <v>2</v>
      </c>
      <c r="J72">
        <v>46</v>
      </c>
      <c r="K72">
        <v>103</v>
      </c>
      <c r="L72">
        <v>133</v>
      </c>
      <c r="M72">
        <v>28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72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44</v>
      </c>
    </row>
    <row r="37" spans="2:17" x14ac:dyDescent="0.25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AVERAGE(Table57[Newtonsoft])</f>
        <v>33180.6</v>
      </c>
      <c r="D38" s="2">
        <f>AVERAGE(Table57[Revenj])</f>
        <v>31937.8</v>
      </c>
      <c r="E38" s="2">
        <f>AVERAGE(Table57[fastJSON])</f>
        <v>33620.199999999997</v>
      </c>
      <c r="F38" s="2">
        <f>AVERAGE(Table57[Service Stack])</f>
        <v>33514</v>
      </c>
      <c r="G38" s="2">
        <f>AVERAGE(Table57[Jil])</f>
        <v>33395.599999999999</v>
      </c>
      <c r="H38" s="2">
        <f>AVERAGE(Table57[NetJSON])</f>
        <v>33310.199999999997</v>
      </c>
      <c r="I38" s="2">
        <f>AVERAGE(Table57[Jackson])</f>
        <v>23247.599999999999</v>
      </c>
      <c r="J38" s="2">
        <f>AVERAGE(Table57[DSL Platform Java])</f>
        <v>23402.400000000001</v>
      </c>
      <c r="K38" s="2">
        <f>AVERAGE(Table57[Genson])</f>
        <v>23193.200000000001</v>
      </c>
      <c r="L38" s="2">
        <f>AVERAGE(Table57[Boon])</f>
        <v>23542</v>
      </c>
      <c r="M38" s="2">
        <f>AVERAGE(Table57[Alibaba])</f>
        <v>23227.8</v>
      </c>
      <c r="N38" s="2">
        <f>AVERAGE(Table57[Gson])</f>
        <v>23811.200000000001</v>
      </c>
      <c r="O38" s="2"/>
      <c r="P38" s="2"/>
      <c r="Q38" s="2"/>
    </row>
    <row r="39" spans="2:17" x14ac:dyDescent="0.25">
      <c r="B39" t="s">
        <v>0</v>
      </c>
      <c r="C39" s="2">
        <f>AVERAGE(Table56[Newtonsoft]) - C38</f>
        <v>57284.799999999996</v>
      </c>
      <c r="D39" s="2">
        <f>AVERAGE(Table56[Revenj]) - D38</f>
        <v>21508.799999999999</v>
      </c>
      <c r="E39" s="2">
        <f>AVERAGE(Table56[fastJSON]) - E38</f>
        <v>105676.00000000001</v>
      </c>
      <c r="F39" s="2">
        <f>AVERAGE(Table56[Service Stack]) - F38</f>
        <v>57987.199999999997</v>
      </c>
      <c r="G39" s="2">
        <f>AVERAGE(Table56[Jil]) - G38</f>
        <v>53768.200000000004</v>
      </c>
      <c r="H39" s="2" t="e">
        <f>AVERAGE(Table56[NetJSON]) - H38</f>
        <v>#DIV/0!</v>
      </c>
      <c r="I39" s="2">
        <f>AVERAGE(Table56[Jackson]) - I38</f>
        <v>14253.800000000003</v>
      </c>
      <c r="J39" s="2">
        <f>AVERAGE(Table56[DSL Platform Java]) - J38</f>
        <v>3223.5999999999985</v>
      </c>
      <c r="K39" s="2">
        <f>AVERAGE(Table56[Genson]) - K38</f>
        <v>48904.800000000003</v>
      </c>
      <c r="L39" s="2">
        <f>AVERAGE(Table56[Boon]) - L38</f>
        <v>21156.199999999997</v>
      </c>
      <c r="M39" s="4" t="s">
        <v>53</v>
      </c>
      <c r="N39" s="2">
        <f>AVERAGE(Table56[Gson]) - N38</f>
        <v>30597.200000000001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110556</v>
      </c>
      <c r="D40" s="2">
        <f t="shared" si="0"/>
        <v>36216.599999999991</v>
      </c>
      <c r="E40" s="2">
        <f t="shared" ref="E40" si="1">E41 - E39 - E38</f>
        <v>106079.59999999999</v>
      </c>
      <c r="F40" s="2">
        <f t="shared" si="0"/>
        <v>107820.59999999998</v>
      </c>
      <c r="G40" s="2">
        <f t="shared" si="0"/>
        <v>42838.19999999999</v>
      </c>
      <c r="H40" s="2" t="e">
        <f t="shared" si="0"/>
        <v>#DIV/0!</v>
      </c>
      <c r="I40" s="2">
        <f t="shared" ref="I40" si="2">I41 - I39 - I38</f>
        <v>28225.200000000004</v>
      </c>
      <c r="J40" s="2">
        <f t="shared" ref="J40" si="3">J41 - J39 - J38</f>
        <v>5760.2000000000007</v>
      </c>
      <c r="K40" s="2">
        <f t="shared" ref="K40:L40" si="4">K41 - K39 - K38</f>
        <v>41729.199999999997</v>
      </c>
      <c r="L40" s="2" t="e">
        <f t="shared" si="4"/>
        <v>#DIV/0!</v>
      </c>
      <c r="M40" s="4" t="s">
        <v>53</v>
      </c>
      <c r="N40" s="2">
        <f t="shared" ref="N40" si="5">N41 - N39 - N38</f>
        <v>49298.8</v>
      </c>
      <c r="O40" s="2"/>
      <c r="P40" s="2"/>
      <c r="Q40" s="2"/>
    </row>
    <row r="41" spans="2:17" x14ac:dyDescent="0.25">
      <c r="B41" t="s">
        <v>25</v>
      </c>
      <c r="C41" s="2">
        <f>AVERAGE(Table58[Newtonsoft])</f>
        <v>201021.4</v>
      </c>
      <c r="D41" s="2">
        <f>AVERAGE(Table58[Revenj])</f>
        <v>89663.2</v>
      </c>
      <c r="E41" s="2">
        <f>AVERAGE(Table58[fastJSON])</f>
        <v>245375.8</v>
      </c>
      <c r="F41" s="2">
        <f>AVERAGE(Table58[Service Stack])</f>
        <v>199321.8</v>
      </c>
      <c r="G41" s="2">
        <f>AVERAGE(Table58[Jil])</f>
        <v>130002</v>
      </c>
      <c r="H41" s="2" t="e">
        <f>AVERAGE(Table58[NetJSON])</f>
        <v>#DIV/0!</v>
      </c>
      <c r="I41" s="2">
        <f>AVERAGE(Table58[Jackson])</f>
        <v>65726.600000000006</v>
      </c>
      <c r="J41" s="2">
        <f>AVERAGE(Table58[DSL Platform Java])</f>
        <v>32386.2</v>
      </c>
      <c r="K41" s="2">
        <f>AVERAGE(Table58[Genson])</f>
        <v>113827.2</v>
      </c>
      <c r="L41" s="2" t="e">
        <f>AVERAGE(Table58[Boon])</f>
        <v>#DIV/0!</v>
      </c>
      <c r="M41" s="2">
        <f>AVERAGE(Table58[Alibaba])</f>
        <v>485063</v>
      </c>
      <c r="N41" s="2">
        <f>AVERAGE(Table58[Gson])</f>
        <v>103707.2</v>
      </c>
      <c r="O41" s="2"/>
      <c r="P41" s="2"/>
      <c r="Q41" s="2"/>
    </row>
    <row r="42" spans="2:17" x14ac:dyDescent="0.25">
      <c r="B42" t="s">
        <v>4</v>
      </c>
      <c r="C42" s="3">
        <f>AVERAGE(Table56[Newtonsoft (size)])</f>
        <v>1213888890</v>
      </c>
      <c r="D42" s="3">
        <f>AVERAGE(Table56[Revenj (size)])</f>
        <v>1038888890</v>
      </c>
      <c r="E42" s="3">
        <f>AVERAGE(Table56[fastJSON (size)])</f>
        <v>1093888890</v>
      </c>
      <c r="F42" s="3">
        <f>AVERAGE(Table56[Service Stack (size)])</f>
        <v>1203888890</v>
      </c>
      <c r="G42" s="2">
        <f>AVERAGE(Table56[Jil (size)])</f>
        <v>1243888890</v>
      </c>
      <c r="H42" s="2" t="e">
        <f>AVERAGE(Table56[NetJSON (size)])</f>
        <v>#DIV/0!</v>
      </c>
      <c r="I42" s="2">
        <f>AVERAGE(Table56[Jackson (size)])</f>
        <v>1038888890</v>
      </c>
      <c r="J42" s="2">
        <f>AVERAGE(Table56[DSL Platform Java (size)])</f>
        <v>1038888890</v>
      </c>
      <c r="K42" s="2">
        <f>AVERAGE(Table56[Genson (size)])</f>
        <v>1113888890</v>
      </c>
      <c r="L42" s="2">
        <f>AVERAGE(Table56[Boon (size)])</f>
        <v>918888890</v>
      </c>
      <c r="M42" s="4" t="s">
        <v>53</v>
      </c>
      <c r="N42" s="2">
        <f>AVERAGE(Table56[Gson (size)])</f>
        <v>1113888890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DEVSQ(Table56[Newtonsoft])</f>
        <v>17460993.199999999</v>
      </c>
      <c r="D47" s="2">
        <f>DEVSQ(Table56[Revenj])</f>
        <v>3599989.2</v>
      </c>
      <c r="E47" s="2">
        <f>DEVSQ(Table56[fastJSON])</f>
        <v>5042942.8000000007</v>
      </c>
      <c r="F47" s="2">
        <f>DEVSQ(Table56[Service Stack])</f>
        <v>6622804.8000000007</v>
      </c>
      <c r="G47" s="2">
        <f>DEVSQ(Table56[Jil])</f>
        <v>11762086.800000001</v>
      </c>
      <c r="H47" s="2" t="e">
        <f>DEVSQ(Table56[NetJSON])</f>
        <v>#NUM!</v>
      </c>
      <c r="I47" s="2">
        <f>DEVSQ(Table56[Jackson])</f>
        <v>3749591.2</v>
      </c>
      <c r="J47" s="2">
        <f>DEVSQ(Table56[DSL Platform Java])</f>
        <v>718338</v>
      </c>
      <c r="K47" s="2">
        <f>DEVSQ(Table56[Genson])</f>
        <v>14256510</v>
      </c>
      <c r="L47" s="2">
        <f>DEVSQ(Table56[Boon])</f>
        <v>1150798.7999999998</v>
      </c>
      <c r="M47" s="2">
        <f>DEVSQ(Table56[Alibaba])</f>
        <v>26716917.199999999</v>
      </c>
      <c r="N47" s="2">
        <f>DEVSQ(Table56[Gson])</f>
        <v>9390157.1999999993</v>
      </c>
      <c r="O47" s="2"/>
      <c r="P47" s="2"/>
      <c r="Q47" s="2"/>
    </row>
    <row r="48" spans="2:17" x14ac:dyDescent="0.25">
      <c r="B48" t="s">
        <v>25</v>
      </c>
      <c r="C48" s="2">
        <f>DEVSQ(Table58[Newtonsoft])</f>
        <v>11736589.199999999</v>
      </c>
      <c r="D48" s="2">
        <f>DEVSQ(Table58[Revenj])</f>
        <v>2604432.7999999998</v>
      </c>
      <c r="E48" s="2">
        <f>DEVSQ(Table58[fastJSON])</f>
        <v>29256162.800000004</v>
      </c>
      <c r="F48" s="2">
        <f>DEVSQ(Table58[Service Stack])</f>
        <v>17185602.800000001</v>
      </c>
      <c r="G48" s="2">
        <f>DEVSQ(Table58[Jil])</f>
        <v>1409024</v>
      </c>
      <c r="H48" s="2" t="e">
        <f>DEVSQ(Table58[NetJSON])</f>
        <v>#NUM!</v>
      </c>
      <c r="I48" s="2">
        <f>DEVSQ(Table58[Jackson])</f>
        <v>5775545.2000000002</v>
      </c>
      <c r="J48" s="2">
        <f>DEVSQ(Table58[DSL Platform Java])</f>
        <v>4009416.8</v>
      </c>
      <c r="K48" s="2">
        <f>DEVSQ(Table58[Genson])</f>
        <v>5913702.7999999998</v>
      </c>
      <c r="L48" s="2" t="e">
        <f>DEVSQ(Table58[Boon])</f>
        <v>#NUM!</v>
      </c>
      <c r="M48" s="2">
        <f>DEVSQ(Table58[Alibaba])</f>
        <v>256322146</v>
      </c>
      <c r="N48" s="2">
        <f>DEVSQ(Table58[Gson])</f>
        <v>2397884.8000000003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33624</v>
      </c>
      <c r="C52">
        <v>32303</v>
      </c>
      <c r="D52">
        <v>34396</v>
      </c>
      <c r="E52">
        <v>32035</v>
      </c>
      <c r="F52">
        <v>33516</v>
      </c>
      <c r="G52">
        <v>33316</v>
      </c>
      <c r="H52">
        <v>22779</v>
      </c>
      <c r="I52">
        <v>23364</v>
      </c>
      <c r="J52">
        <v>23459</v>
      </c>
      <c r="K52">
        <v>23572</v>
      </c>
      <c r="L52">
        <v>23470</v>
      </c>
      <c r="M52">
        <v>24816</v>
      </c>
    </row>
    <row r="53" spans="2:25" x14ac:dyDescent="0.25">
      <c r="B53">
        <v>32157</v>
      </c>
      <c r="C53">
        <v>31771</v>
      </c>
      <c r="D53">
        <v>33901</v>
      </c>
      <c r="E53">
        <v>33977</v>
      </c>
      <c r="F53">
        <v>32456</v>
      </c>
      <c r="G53">
        <v>32550</v>
      </c>
      <c r="H53">
        <v>23565</v>
      </c>
      <c r="I53">
        <v>23213</v>
      </c>
      <c r="J53">
        <v>22891</v>
      </c>
      <c r="K53">
        <v>23514</v>
      </c>
      <c r="L53">
        <v>23111</v>
      </c>
      <c r="M53">
        <v>23635</v>
      </c>
    </row>
    <row r="54" spans="2:25" x14ac:dyDescent="0.25">
      <c r="B54">
        <v>32251</v>
      </c>
      <c r="C54">
        <v>32092</v>
      </c>
      <c r="D54">
        <v>33131</v>
      </c>
      <c r="E54">
        <v>33906</v>
      </c>
      <c r="F54">
        <v>34161</v>
      </c>
      <c r="G54">
        <v>34001</v>
      </c>
      <c r="H54">
        <v>23212</v>
      </c>
      <c r="I54">
        <v>23286</v>
      </c>
      <c r="J54">
        <v>23349</v>
      </c>
      <c r="K54">
        <v>23921</v>
      </c>
      <c r="L54">
        <v>23244</v>
      </c>
      <c r="M54">
        <v>23935</v>
      </c>
    </row>
    <row r="55" spans="2:25" x14ac:dyDescent="0.25">
      <c r="B55">
        <v>33653</v>
      </c>
      <c r="C55">
        <v>32004</v>
      </c>
      <c r="D55">
        <v>33358</v>
      </c>
      <c r="E55">
        <v>33820</v>
      </c>
      <c r="F55">
        <v>33827</v>
      </c>
      <c r="G55">
        <v>33275</v>
      </c>
      <c r="H55">
        <v>23032</v>
      </c>
      <c r="I55">
        <v>23725</v>
      </c>
      <c r="J55">
        <v>23180</v>
      </c>
      <c r="K55">
        <v>23037</v>
      </c>
      <c r="L55">
        <v>23412</v>
      </c>
      <c r="M55">
        <v>23149</v>
      </c>
    </row>
    <row r="56" spans="2:25" x14ac:dyDescent="0.25">
      <c r="B56">
        <v>34218</v>
      </c>
      <c r="C56">
        <v>31519</v>
      </c>
      <c r="D56">
        <v>33315</v>
      </c>
      <c r="E56">
        <v>33832</v>
      </c>
      <c r="F56">
        <v>33018</v>
      </c>
      <c r="G56">
        <v>33409</v>
      </c>
      <c r="H56">
        <v>23650</v>
      </c>
      <c r="I56">
        <v>23424</v>
      </c>
      <c r="J56">
        <v>23087</v>
      </c>
      <c r="K56">
        <v>23666</v>
      </c>
      <c r="L56">
        <v>22902</v>
      </c>
      <c r="M56">
        <v>23521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93666</v>
      </c>
      <c r="C60">
        <v>53476</v>
      </c>
      <c r="D60">
        <v>140526</v>
      </c>
      <c r="E60">
        <v>90832</v>
      </c>
      <c r="F60">
        <v>87172</v>
      </c>
      <c r="H60">
        <v>38800</v>
      </c>
      <c r="I60">
        <v>27183</v>
      </c>
      <c r="J60">
        <v>74635</v>
      </c>
      <c r="K60">
        <v>45362</v>
      </c>
      <c r="L60">
        <v>202544</v>
      </c>
      <c r="M60">
        <v>52333</v>
      </c>
      <c r="N60">
        <v>1213888890</v>
      </c>
      <c r="O60">
        <v>1038888890</v>
      </c>
      <c r="P60">
        <v>1093888890</v>
      </c>
      <c r="Q60">
        <v>1203888890</v>
      </c>
      <c r="R60">
        <v>1243888890</v>
      </c>
      <c r="T60">
        <v>1038888890</v>
      </c>
      <c r="U60">
        <v>1038888890</v>
      </c>
      <c r="V60">
        <v>1113888890</v>
      </c>
      <c r="W60">
        <v>918888890</v>
      </c>
      <c r="X60">
        <v>19618322010</v>
      </c>
      <c r="Y60">
        <v>1113888890</v>
      </c>
    </row>
    <row r="61" spans="2:25" x14ac:dyDescent="0.25">
      <c r="B61">
        <v>91029</v>
      </c>
      <c r="C61">
        <v>54521</v>
      </c>
      <c r="D61">
        <v>137521</v>
      </c>
      <c r="E61">
        <v>92358</v>
      </c>
      <c r="F61">
        <v>84609</v>
      </c>
      <c r="H61">
        <v>37852</v>
      </c>
      <c r="I61">
        <v>26434</v>
      </c>
      <c r="J61">
        <v>73282</v>
      </c>
      <c r="K61">
        <v>44537</v>
      </c>
      <c r="L61">
        <v>203776</v>
      </c>
      <c r="M61">
        <v>55378</v>
      </c>
      <c r="N61">
        <v>1213888890</v>
      </c>
      <c r="O61">
        <v>1038888890</v>
      </c>
      <c r="P61">
        <v>1093888890</v>
      </c>
      <c r="Q61">
        <v>1203888890</v>
      </c>
      <c r="R61">
        <v>1243888890</v>
      </c>
      <c r="T61">
        <v>1038888890</v>
      </c>
      <c r="U61">
        <v>1038888890</v>
      </c>
      <c r="V61">
        <v>1113888890</v>
      </c>
      <c r="W61">
        <v>918888890</v>
      </c>
      <c r="X61">
        <v>19618322010</v>
      </c>
      <c r="Y61">
        <v>1113888890</v>
      </c>
    </row>
    <row r="62" spans="2:25" x14ac:dyDescent="0.25">
      <c r="B62">
        <v>90387</v>
      </c>
      <c r="C62">
        <v>53555</v>
      </c>
      <c r="D62">
        <v>139047</v>
      </c>
      <c r="E62">
        <v>93198</v>
      </c>
      <c r="F62">
        <v>89443</v>
      </c>
      <c r="H62">
        <v>36795</v>
      </c>
      <c r="I62">
        <v>26841</v>
      </c>
      <c r="J62">
        <v>69764</v>
      </c>
      <c r="K62">
        <v>45087</v>
      </c>
      <c r="L62">
        <v>198939</v>
      </c>
      <c r="M62">
        <v>56267</v>
      </c>
      <c r="N62">
        <v>1213888890</v>
      </c>
      <c r="O62">
        <v>1038888890</v>
      </c>
      <c r="P62">
        <v>1093888890</v>
      </c>
      <c r="Q62">
        <v>1203888890</v>
      </c>
      <c r="R62">
        <v>1243888890</v>
      </c>
      <c r="T62">
        <v>1038888890</v>
      </c>
      <c r="U62">
        <v>1038888890</v>
      </c>
      <c r="V62">
        <v>1113888890</v>
      </c>
      <c r="W62">
        <v>918888890</v>
      </c>
      <c r="X62">
        <v>19618322010</v>
      </c>
      <c r="Y62">
        <v>1113888890</v>
      </c>
    </row>
    <row r="63" spans="2:25" x14ac:dyDescent="0.25">
      <c r="B63">
        <v>88398</v>
      </c>
      <c r="C63">
        <v>51919</v>
      </c>
      <c r="D63">
        <v>139667</v>
      </c>
      <c r="E63">
        <v>91186</v>
      </c>
      <c r="F63">
        <v>87345</v>
      </c>
      <c r="H63">
        <v>37736</v>
      </c>
      <c r="I63">
        <v>26056</v>
      </c>
      <c r="J63">
        <v>71471</v>
      </c>
      <c r="K63">
        <v>44513</v>
      </c>
      <c r="L63">
        <v>205989</v>
      </c>
      <c r="M63">
        <v>53582</v>
      </c>
      <c r="N63">
        <v>1213888890</v>
      </c>
      <c r="O63">
        <v>1038888890</v>
      </c>
      <c r="P63">
        <v>1093888890</v>
      </c>
      <c r="Q63">
        <v>1203888890</v>
      </c>
      <c r="R63">
        <v>1243888890</v>
      </c>
      <c r="T63">
        <v>1038888890</v>
      </c>
      <c r="U63">
        <v>1038888890</v>
      </c>
      <c r="V63">
        <v>1113888890</v>
      </c>
      <c r="W63">
        <v>918888890</v>
      </c>
      <c r="X63">
        <v>19618322010</v>
      </c>
      <c r="Y63">
        <v>1113888890</v>
      </c>
    </row>
    <row r="64" spans="2:25" x14ac:dyDescent="0.25">
      <c r="B64">
        <v>88847</v>
      </c>
      <c r="C64">
        <v>53762</v>
      </c>
      <c r="D64">
        <v>139720</v>
      </c>
      <c r="E64">
        <v>89932</v>
      </c>
      <c r="F64">
        <v>87250</v>
      </c>
      <c r="H64">
        <v>36324</v>
      </c>
      <c r="I64">
        <v>26616</v>
      </c>
      <c r="J64">
        <v>71338</v>
      </c>
      <c r="K64">
        <v>43992</v>
      </c>
      <c r="L64">
        <v>201930</v>
      </c>
      <c r="M64">
        <v>54482</v>
      </c>
      <c r="N64">
        <v>1213888890</v>
      </c>
      <c r="O64">
        <v>1038888890</v>
      </c>
      <c r="P64">
        <v>1093888890</v>
      </c>
      <c r="Q64">
        <v>1203888890</v>
      </c>
      <c r="R64">
        <v>1243888890</v>
      </c>
      <c r="T64">
        <v>1038888890</v>
      </c>
      <c r="U64">
        <v>1038888890</v>
      </c>
      <c r="V64">
        <v>1113888890</v>
      </c>
      <c r="W64">
        <v>918888890</v>
      </c>
      <c r="X64">
        <v>19618322010</v>
      </c>
      <c r="Y64">
        <v>1113888890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200149</v>
      </c>
      <c r="C68">
        <v>89771</v>
      </c>
      <c r="D68">
        <v>243927</v>
      </c>
      <c r="E68">
        <v>196933</v>
      </c>
      <c r="F68">
        <v>129524</v>
      </c>
      <c r="H68">
        <v>64582</v>
      </c>
      <c r="I68">
        <v>33515</v>
      </c>
      <c r="J68">
        <v>115118</v>
      </c>
      <c r="L68">
        <v>492331</v>
      </c>
      <c r="M68">
        <v>103415</v>
      </c>
    </row>
    <row r="69" spans="2:13" x14ac:dyDescent="0.25">
      <c r="B69">
        <v>201207</v>
      </c>
      <c r="C69">
        <v>89705</v>
      </c>
      <c r="D69">
        <v>244375</v>
      </c>
      <c r="E69">
        <v>200982</v>
      </c>
      <c r="F69">
        <v>130228</v>
      </c>
      <c r="H69">
        <v>66606</v>
      </c>
      <c r="I69">
        <v>32132</v>
      </c>
      <c r="J69">
        <v>112482</v>
      </c>
      <c r="L69">
        <v>482634</v>
      </c>
      <c r="M69">
        <v>103977</v>
      </c>
    </row>
    <row r="70" spans="2:13" x14ac:dyDescent="0.25">
      <c r="B70">
        <v>203601</v>
      </c>
      <c r="C70">
        <v>89948</v>
      </c>
      <c r="D70">
        <v>245348</v>
      </c>
      <c r="E70">
        <v>201915</v>
      </c>
      <c r="F70">
        <v>129228</v>
      </c>
      <c r="H70">
        <v>67327</v>
      </c>
      <c r="I70">
        <v>33196</v>
      </c>
      <c r="J70">
        <v>115096</v>
      </c>
      <c r="L70">
        <v>489971</v>
      </c>
      <c r="M70">
        <v>104761</v>
      </c>
    </row>
    <row r="71" spans="2:13" x14ac:dyDescent="0.25">
      <c r="B71">
        <v>201192</v>
      </c>
      <c r="C71">
        <v>88347</v>
      </c>
      <c r="D71">
        <v>243217</v>
      </c>
      <c r="E71">
        <v>198750</v>
      </c>
      <c r="F71">
        <v>130470</v>
      </c>
      <c r="H71">
        <v>64713</v>
      </c>
      <c r="I71">
        <v>32090</v>
      </c>
      <c r="J71">
        <v>113007</v>
      </c>
      <c r="L71">
        <v>488127</v>
      </c>
      <c r="M71">
        <v>102645</v>
      </c>
    </row>
    <row r="72" spans="2:13" x14ac:dyDescent="0.25">
      <c r="B72">
        <v>198958</v>
      </c>
      <c r="C72">
        <v>90545</v>
      </c>
      <c r="D72">
        <v>250012</v>
      </c>
      <c r="E72">
        <v>198029</v>
      </c>
      <c r="F72">
        <v>130560</v>
      </c>
      <c r="H72">
        <v>65405</v>
      </c>
      <c r="I72">
        <v>30998</v>
      </c>
      <c r="J72">
        <v>113433</v>
      </c>
      <c r="L72">
        <v>472252</v>
      </c>
      <c r="M72">
        <v>103738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72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45</v>
      </c>
    </row>
    <row r="37" spans="2:17" x14ac:dyDescent="0.25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AVERAGE(Table62[Newtonsoft])</f>
        <v>246.4</v>
      </c>
      <c r="D38" s="2">
        <f>AVERAGE(Table62[Revenj])</f>
        <v>251.6</v>
      </c>
      <c r="E38" s="2" t="e">
        <f>AVERAGE(Table62[fastJSON])</f>
        <v>#DIV/0!</v>
      </c>
      <c r="F38" s="2">
        <f>AVERAGE(Table62[Service Stack])</f>
        <v>247</v>
      </c>
      <c r="G38" s="2" t="e">
        <f>AVERAGE(Table62[Jil])</f>
        <v>#DIV/0!</v>
      </c>
      <c r="H38" s="2" t="e">
        <f>AVERAGE(Table62[NetJSON])</f>
        <v>#DIV/0!</v>
      </c>
      <c r="I38" s="2">
        <f>AVERAGE(Table62[Jackson])</f>
        <v>68</v>
      </c>
      <c r="J38" s="2">
        <f>AVERAGE(Table62[DSL Platform Java])</f>
        <v>19.600000000000001</v>
      </c>
      <c r="K38" s="2">
        <f>AVERAGE(Table62[Genson])</f>
        <v>59.4</v>
      </c>
      <c r="L38" s="2" t="e">
        <f>AVERAGE(Table62[Boon])</f>
        <v>#DIV/0!</v>
      </c>
      <c r="M38" s="2" t="e">
        <f>AVERAGE(Table62[Alibaba])</f>
        <v>#DIV/0!</v>
      </c>
      <c r="N38" s="2">
        <f>AVERAGE(Table62[Gson])</f>
        <v>72.8</v>
      </c>
      <c r="O38" s="2"/>
      <c r="P38" s="2"/>
      <c r="Q38" s="2"/>
    </row>
    <row r="39" spans="2:17" x14ac:dyDescent="0.25">
      <c r="B39" t="s">
        <v>0</v>
      </c>
      <c r="C39" s="2">
        <f>AVERAGE(Table61[Newtonsoft]) - C38</f>
        <v>175.20000000000002</v>
      </c>
      <c r="D39" s="2">
        <f>AVERAGE(Table61[Revenj]) - D38</f>
        <v>49.400000000000006</v>
      </c>
      <c r="E39" s="2" t="e">
        <f>AVERAGE(Table61[fastJSON]) - E38</f>
        <v>#DIV/0!</v>
      </c>
      <c r="F39" s="2">
        <f>AVERAGE(Table61[Service Stack]) - F38</f>
        <v>223</v>
      </c>
      <c r="G39" s="2" t="e">
        <f>AVERAGE(Table61[Jil]) - G38</f>
        <v>#DIV/0!</v>
      </c>
      <c r="H39" s="2" t="e">
        <f>AVERAGE(Table61[NetJSON]) - H38</f>
        <v>#DIV/0!</v>
      </c>
      <c r="I39" s="2">
        <f>AVERAGE(Table61[Jackson]) - I38</f>
        <v>267.2</v>
      </c>
      <c r="J39" s="2">
        <f>AVERAGE(Table61[DSL Platform Java]) - J38</f>
        <v>49.199999999999996</v>
      </c>
      <c r="K39" s="2">
        <f>AVERAGE(Table61[Genson]) - K38</f>
        <v>225.4</v>
      </c>
      <c r="L39" s="2" t="e">
        <f>AVERAGE(Table61[Boon]) - L38</f>
        <v>#DIV/0!</v>
      </c>
      <c r="M39" s="2" t="e">
        <f>AVERAGE(Table61[Alibaba]) - M38</f>
        <v>#DIV/0!</v>
      </c>
      <c r="N39" s="2">
        <f>AVERAGE(Table61[Gson]) - N38</f>
        <v>248.2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186.39999999999995</v>
      </c>
      <c r="D40" s="2">
        <f t="shared" si="0"/>
        <v>115.00000000000003</v>
      </c>
      <c r="E40" s="2" t="e">
        <f t="shared" ref="E40" si="1">E41 - E39 - E38</f>
        <v>#DIV/0!</v>
      </c>
      <c r="F40" s="2">
        <f t="shared" si="0"/>
        <v>196.79999999999995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335.8</v>
      </c>
      <c r="J40" s="2">
        <f t="shared" ref="J40" si="3">J41 - J39 - J38</f>
        <v>79.000000000000028</v>
      </c>
      <c r="K40" s="2" t="e">
        <f t="shared" ref="K40:L40" si="4">K41 - K39 - K38</f>
        <v>#VALUE!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302.60000000000002</v>
      </c>
      <c r="O40" s="2"/>
      <c r="P40" s="2"/>
      <c r="Q40" s="2"/>
    </row>
    <row r="41" spans="2:17" x14ac:dyDescent="0.25">
      <c r="B41" t="s">
        <v>25</v>
      </c>
      <c r="C41" s="2">
        <f>AVERAGE(Table63[Newtonsoft])</f>
        <v>608</v>
      </c>
      <c r="D41" s="2">
        <f>AVERAGE(Table63[Revenj])</f>
        <v>416</v>
      </c>
      <c r="E41" s="2" t="e">
        <f>AVERAGE(Table63[fastJSON])</f>
        <v>#DIV/0!</v>
      </c>
      <c r="F41" s="2">
        <f>AVERAGE(Table63[Service Stack])</f>
        <v>666.8</v>
      </c>
      <c r="G41" s="2" t="e">
        <f>AVERAGE(Table63[Jil])</f>
        <v>#DIV/0!</v>
      </c>
      <c r="H41" s="2" t="e">
        <f>AVERAGE(Table63[NetJSON])</f>
        <v>#DIV/0!</v>
      </c>
      <c r="I41" s="2">
        <f>AVERAGE(Table63[Jackson])</f>
        <v>671</v>
      </c>
      <c r="J41" s="2">
        <f>AVERAGE(Table63[DSL Platform Java])</f>
        <v>147.80000000000001</v>
      </c>
      <c r="K41" s="4" t="s">
        <v>53</v>
      </c>
      <c r="L41" s="2" t="e">
        <f>AVERAGE(Table63[Boon])</f>
        <v>#DIV/0!</v>
      </c>
      <c r="M41" s="2" t="e">
        <f>AVERAGE(Table63[Alibaba])</f>
        <v>#DIV/0!</v>
      </c>
      <c r="N41" s="2">
        <f>AVERAGE(Table63[Gson])</f>
        <v>623.6</v>
      </c>
      <c r="O41" s="2"/>
      <c r="P41" s="2"/>
      <c r="Q41" s="2"/>
    </row>
    <row r="42" spans="2:17" x14ac:dyDescent="0.25">
      <c r="B42" t="s">
        <v>4</v>
      </c>
      <c r="C42" s="3">
        <f>AVERAGE(Table61[Newtonsoft (size)])</f>
        <v>2224454</v>
      </c>
      <c r="D42" s="3">
        <f>AVERAGE(Table61[Revenj (size)])</f>
        <v>1798584</v>
      </c>
      <c r="E42" s="3" t="e">
        <f>AVERAGE(Table61[fastJSON (size)])</f>
        <v>#DIV/0!</v>
      </c>
      <c r="F42" s="3">
        <f>AVERAGE(Table61[Service Stack (size)])</f>
        <v>1740659</v>
      </c>
      <c r="G42" s="2" t="e">
        <f>AVERAGE(Table61[Jil (size)])</f>
        <v>#DIV/0!</v>
      </c>
      <c r="H42" s="2" t="e">
        <f>AVERAGE(Table61[NetJSON (size)])</f>
        <v>#DIV/0!</v>
      </c>
      <c r="I42" s="2">
        <f>AVERAGE(Table61[Jackson (size)])</f>
        <v>1762584</v>
      </c>
      <c r="J42" s="2">
        <f>AVERAGE(Table61[DSL Platform Java (size)])</f>
        <v>1762584</v>
      </c>
      <c r="K42" s="2">
        <f>AVERAGE(Table61[Genson (size)])</f>
        <v>2079785</v>
      </c>
      <c r="L42" s="2" t="e">
        <f>AVERAGE(Table61[Boon (size)])</f>
        <v>#DIV/0!</v>
      </c>
      <c r="M42" s="2" t="e">
        <f>AVERAGE(Table61[Alibaba (size)])</f>
        <v>#DIV/0!</v>
      </c>
      <c r="N42" s="2">
        <f>AVERAGE(Table61[Gson (size)])</f>
        <v>1763995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DEVSQ(Table61[Newtonsoft])</f>
        <v>13.2</v>
      </c>
      <c r="D47" s="2">
        <f>DEVSQ(Table61[Revenj])</f>
        <v>14</v>
      </c>
      <c r="E47" s="2" t="e">
        <f>DEVSQ(Table61[fastJSON])</f>
        <v>#NUM!</v>
      </c>
      <c r="F47" s="2">
        <f>DEVSQ(Table61[Service Stack])</f>
        <v>4</v>
      </c>
      <c r="G47" s="2" t="e">
        <f>DEVSQ(Table61[Jil])</f>
        <v>#NUM!</v>
      </c>
      <c r="H47" s="2" t="e">
        <f>DEVSQ(Table61[NetJSON])</f>
        <v>#NUM!</v>
      </c>
      <c r="I47" s="2">
        <f>DEVSQ(Table61[Jackson])</f>
        <v>12.8</v>
      </c>
      <c r="J47" s="2">
        <f>DEVSQ(Table61[DSL Platform Java])</f>
        <v>4.8</v>
      </c>
      <c r="K47" s="2">
        <f>DEVSQ(Table61[Genson])</f>
        <v>10.8</v>
      </c>
      <c r="L47" s="2" t="e">
        <f>DEVSQ(Table61[Boon])</f>
        <v>#NUM!</v>
      </c>
      <c r="M47" s="2" t="e">
        <f>DEVSQ(Table61[Alibaba])</f>
        <v>#NUM!</v>
      </c>
      <c r="N47" s="2">
        <f>DEVSQ(Table61[Gson])</f>
        <v>62</v>
      </c>
      <c r="O47" s="2"/>
      <c r="P47" s="2"/>
      <c r="Q47" s="2"/>
    </row>
    <row r="48" spans="2:17" x14ac:dyDescent="0.25">
      <c r="B48" t="s">
        <v>25</v>
      </c>
      <c r="C48" s="2">
        <f>DEVSQ(Table63[Newtonsoft])</f>
        <v>2</v>
      </c>
      <c r="D48" s="2">
        <f>DEVSQ(Table63[Revenj])</f>
        <v>2</v>
      </c>
      <c r="E48" s="2" t="e">
        <f>DEVSQ(Table63[fastJSON])</f>
        <v>#NUM!</v>
      </c>
      <c r="F48" s="2">
        <f>DEVSQ(Table63[Service Stack])</f>
        <v>10.8</v>
      </c>
      <c r="G48" s="2" t="e">
        <f>DEVSQ(Table63[Jil])</f>
        <v>#NUM!</v>
      </c>
      <c r="H48" s="2" t="e">
        <f>DEVSQ(Table63[NetJSON])</f>
        <v>#NUM!</v>
      </c>
      <c r="I48" s="2">
        <f>DEVSQ(Table63[Jackson])</f>
        <v>310</v>
      </c>
      <c r="J48" s="2">
        <f>DEVSQ(Table63[DSL Platform Java])</f>
        <v>56.8</v>
      </c>
      <c r="K48" s="2">
        <f>DEVSQ(Table63[Genson])</f>
        <v>270.8</v>
      </c>
      <c r="L48" s="2" t="e">
        <f>DEVSQ(Table63[Boon])</f>
        <v>#NUM!</v>
      </c>
      <c r="M48" s="2" t="e">
        <f>DEVSQ(Table63[Alibaba])</f>
        <v>#NUM!</v>
      </c>
      <c r="N48" s="2">
        <f>DEVSQ(Table63[Gson])</f>
        <v>1033.2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246</v>
      </c>
      <c r="C52">
        <v>252</v>
      </c>
      <c r="E52">
        <v>246</v>
      </c>
      <c r="H52">
        <v>67</v>
      </c>
      <c r="I52">
        <v>20</v>
      </c>
      <c r="J52">
        <v>58</v>
      </c>
      <c r="M52">
        <v>71</v>
      </c>
    </row>
    <row r="53" spans="2:25" x14ac:dyDescent="0.25">
      <c r="B53">
        <v>246</v>
      </c>
      <c r="C53">
        <v>252</v>
      </c>
      <c r="E53">
        <v>248</v>
      </c>
      <c r="H53">
        <v>67</v>
      </c>
      <c r="I53">
        <v>19</v>
      </c>
      <c r="J53">
        <v>61</v>
      </c>
      <c r="M53">
        <v>74</v>
      </c>
    </row>
    <row r="54" spans="2:25" x14ac:dyDescent="0.25">
      <c r="B54">
        <v>247</v>
      </c>
      <c r="C54">
        <v>252</v>
      </c>
      <c r="E54">
        <v>247</v>
      </c>
      <c r="H54">
        <v>71</v>
      </c>
      <c r="I54">
        <v>19</v>
      </c>
      <c r="J54">
        <v>60</v>
      </c>
      <c r="M54">
        <v>73</v>
      </c>
    </row>
    <row r="55" spans="2:25" x14ac:dyDescent="0.25">
      <c r="B55">
        <v>246</v>
      </c>
      <c r="C55">
        <v>251</v>
      </c>
      <c r="E55">
        <v>247</v>
      </c>
      <c r="H55">
        <v>68</v>
      </c>
      <c r="I55">
        <v>20</v>
      </c>
      <c r="J55">
        <v>59</v>
      </c>
      <c r="M55">
        <v>71</v>
      </c>
    </row>
    <row r="56" spans="2:25" x14ac:dyDescent="0.25">
      <c r="B56">
        <v>247</v>
      </c>
      <c r="C56">
        <v>251</v>
      </c>
      <c r="E56">
        <v>247</v>
      </c>
      <c r="H56">
        <v>67</v>
      </c>
      <c r="I56">
        <v>20</v>
      </c>
      <c r="J56">
        <v>59</v>
      </c>
      <c r="M56">
        <v>75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424</v>
      </c>
      <c r="C60">
        <v>302</v>
      </c>
      <c r="E60">
        <v>470</v>
      </c>
      <c r="H60">
        <v>333</v>
      </c>
      <c r="I60">
        <v>68</v>
      </c>
      <c r="J60">
        <v>285</v>
      </c>
      <c r="M60">
        <v>318</v>
      </c>
      <c r="N60">
        <v>2224454</v>
      </c>
      <c r="O60">
        <v>1802584</v>
      </c>
      <c r="Q60">
        <v>1740659</v>
      </c>
      <c r="T60">
        <v>1762584</v>
      </c>
      <c r="U60">
        <v>1762584</v>
      </c>
      <c r="V60">
        <v>2079785</v>
      </c>
      <c r="Y60">
        <v>1763995</v>
      </c>
    </row>
    <row r="61" spans="2:25" x14ac:dyDescent="0.25">
      <c r="B61">
        <v>422</v>
      </c>
      <c r="C61">
        <v>302</v>
      </c>
      <c r="E61">
        <v>469</v>
      </c>
      <c r="H61">
        <v>334</v>
      </c>
      <c r="I61">
        <v>70</v>
      </c>
      <c r="J61">
        <v>285</v>
      </c>
      <c r="M61">
        <v>327</v>
      </c>
      <c r="N61">
        <v>2224454</v>
      </c>
      <c r="O61">
        <v>1802584</v>
      </c>
      <c r="Q61">
        <v>1740659</v>
      </c>
      <c r="T61">
        <v>1762584</v>
      </c>
      <c r="U61">
        <v>1762584</v>
      </c>
      <c r="V61">
        <v>2079785</v>
      </c>
      <c r="Y61">
        <v>1763995</v>
      </c>
    </row>
    <row r="62" spans="2:25" x14ac:dyDescent="0.25">
      <c r="B62">
        <v>421</v>
      </c>
      <c r="C62">
        <v>303</v>
      </c>
      <c r="E62">
        <v>471</v>
      </c>
      <c r="H62">
        <v>335</v>
      </c>
      <c r="I62">
        <v>68</v>
      </c>
      <c r="J62">
        <v>286</v>
      </c>
      <c r="M62">
        <v>317</v>
      </c>
      <c r="N62">
        <v>2224454</v>
      </c>
      <c r="O62">
        <v>1782584</v>
      </c>
      <c r="Q62">
        <v>1740659</v>
      </c>
      <c r="T62">
        <v>1762584</v>
      </c>
      <c r="U62">
        <v>1762584</v>
      </c>
      <c r="V62">
        <v>2079785</v>
      </c>
      <c r="Y62">
        <v>1763995</v>
      </c>
    </row>
    <row r="63" spans="2:25" x14ac:dyDescent="0.25">
      <c r="B63">
        <v>422</v>
      </c>
      <c r="C63">
        <v>299</v>
      </c>
      <c r="E63">
        <v>469</v>
      </c>
      <c r="H63">
        <v>337</v>
      </c>
      <c r="I63">
        <v>70</v>
      </c>
      <c r="J63">
        <v>282</v>
      </c>
      <c r="M63">
        <v>322</v>
      </c>
      <c r="N63">
        <v>2224454</v>
      </c>
      <c r="O63">
        <v>1802584</v>
      </c>
      <c r="Q63">
        <v>1740659</v>
      </c>
      <c r="T63">
        <v>1762584</v>
      </c>
      <c r="U63">
        <v>1762584</v>
      </c>
      <c r="V63">
        <v>2079785</v>
      </c>
      <c r="Y63">
        <v>1763995</v>
      </c>
    </row>
    <row r="64" spans="2:25" x14ac:dyDescent="0.25">
      <c r="B64">
        <v>419</v>
      </c>
      <c r="C64">
        <v>299</v>
      </c>
      <c r="E64">
        <v>471</v>
      </c>
      <c r="H64">
        <v>337</v>
      </c>
      <c r="I64">
        <v>68</v>
      </c>
      <c r="J64">
        <v>286</v>
      </c>
      <c r="M64">
        <v>321</v>
      </c>
      <c r="N64">
        <v>2224454</v>
      </c>
      <c r="O64">
        <v>1802584</v>
      </c>
      <c r="Q64">
        <v>1740659</v>
      </c>
      <c r="T64">
        <v>1762584</v>
      </c>
      <c r="U64">
        <v>1762584</v>
      </c>
      <c r="V64">
        <v>2079785</v>
      </c>
      <c r="Y64">
        <v>1763995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608</v>
      </c>
      <c r="C68">
        <v>416</v>
      </c>
      <c r="E68">
        <v>669</v>
      </c>
      <c r="H68">
        <v>664</v>
      </c>
      <c r="I68">
        <v>150</v>
      </c>
      <c r="J68">
        <v>482</v>
      </c>
      <c r="M68">
        <v>632</v>
      </c>
    </row>
    <row r="69" spans="2:13" x14ac:dyDescent="0.25">
      <c r="B69">
        <v>607</v>
      </c>
      <c r="C69">
        <v>416</v>
      </c>
      <c r="E69">
        <v>665</v>
      </c>
      <c r="H69">
        <v>663</v>
      </c>
      <c r="I69">
        <v>146</v>
      </c>
      <c r="J69">
        <v>473</v>
      </c>
      <c r="M69">
        <v>622</v>
      </c>
    </row>
    <row r="70" spans="2:13" x14ac:dyDescent="0.25">
      <c r="B70">
        <v>608</v>
      </c>
      <c r="C70">
        <v>415</v>
      </c>
      <c r="E70">
        <v>666</v>
      </c>
      <c r="H70">
        <v>667</v>
      </c>
      <c r="I70">
        <v>142</v>
      </c>
      <c r="J70">
        <v>491</v>
      </c>
      <c r="M70">
        <v>646</v>
      </c>
    </row>
    <row r="71" spans="2:13" x14ac:dyDescent="0.25">
      <c r="B71">
        <v>608</v>
      </c>
      <c r="C71">
        <v>416</v>
      </c>
      <c r="E71">
        <v>666</v>
      </c>
      <c r="H71">
        <v>681</v>
      </c>
      <c r="I71">
        <v>151</v>
      </c>
      <c r="J71">
        <v>470</v>
      </c>
      <c r="M71">
        <v>605</v>
      </c>
    </row>
    <row r="72" spans="2:13" x14ac:dyDescent="0.25">
      <c r="B72">
        <v>609</v>
      </c>
      <c r="C72">
        <v>417</v>
      </c>
      <c r="E72">
        <v>668</v>
      </c>
      <c r="H72">
        <v>680</v>
      </c>
      <c r="I72">
        <v>150</v>
      </c>
      <c r="J72">
        <v>480</v>
      </c>
      <c r="M72">
        <v>613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72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46</v>
      </c>
    </row>
    <row r="37" spans="2:17" x14ac:dyDescent="0.25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AVERAGE(Table67[Newtonsoft])</f>
        <v>364.2</v>
      </c>
      <c r="D38" s="2">
        <f>AVERAGE(Table67[Revenj])</f>
        <v>377.2</v>
      </c>
      <c r="E38" s="2" t="e">
        <f>AVERAGE(Table67[fastJSON])</f>
        <v>#DIV/0!</v>
      </c>
      <c r="F38" s="2">
        <f>AVERAGE(Table67[Service Stack])</f>
        <v>364.6</v>
      </c>
      <c r="G38" s="2" t="e">
        <f>AVERAGE(Table67[Jil])</f>
        <v>#DIV/0!</v>
      </c>
      <c r="H38" s="2" t="e">
        <f>AVERAGE(Table67[NetJSON])</f>
        <v>#DIV/0!</v>
      </c>
      <c r="I38" s="2">
        <f>AVERAGE(Table67[Jackson])</f>
        <v>105</v>
      </c>
      <c r="J38" s="2">
        <f>AVERAGE(Table67[DSL Platform Java])</f>
        <v>56.2</v>
      </c>
      <c r="K38" s="2">
        <f>AVERAGE(Table67[Genson])</f>
        <v>94.2</v>
      </c>
      <c r="L38" s="2" t="e">
        <f>AVERAGE(Table67[Boon])</f>
        <v>#DIV/0!</v>
      </c>
      <c r="M38" s="2" t="e">
        <f>AVERAGE(Table67[Alibaba])</f>
        <v>#DIV/0!</v>
      </c>
      <c r="N38" s="2">
        <f>AVERAGE(Table67[Gson])</f>
        <v>109.4</v>
      </c>
      <c r="O38" s="2"/>
      <c r="P38" s="2"/>
      <c r="Q38" s="2"/>
    </row>
    <row r="39" spans="2:17" x14ac:dyDescent="0.25">
      <c r="B39" t="s">
        <v>0</v>
      </c>
      <c r="C39" s="2">
        <f>AVERAGE(Table66[Newtonsoft]) - C38</f>
        <v>1061</v>
      </c>
      <c r="D39" s="2">
        <f>AVERAGE(Table66[Revenj]) - D38</f>
        <v>424.00000000000006</v>
      </c>
      <c r="E39" s="2" t="e">
        <f>AVERAGE(Table66[fastJSON]) - E38</f>
        <v>#DIV/0!</v>
      </c>
      <c r="F39" s="2">
        <f>AVERAGE(Table66[Service Stack]) - F38</f>
        <v>1086.4000000000001</v>
      </c>
      <c r="G39" s="2" t="e">
        <f>AVERAGE(Table66[Jil]) - G38</f>
        <v>#DIV/0!</v>
      </c>
      <c r="H39" s="2" t="e">
        <f>AVERAGE(Table66[NetJSON]) - H38</f>
        <v>#DIV/0!</v>
      </c>
      <c r="I39" s="2">
        <f>AVERAGE(Table66[Jackson]) - I38</f>
        <v>635</v>
      </c>
      <c r="J39" s="2">
        <f>AVERAGE(Table66[DSL Platform Java]) - J38</f>
        <v>141</v>
      </c>
      <c r="K39" s="2">
        <f>AVERAGE(Table66[Genson]) - K38</f>
        <v>877.8</v>
      </c>
      <c r="L39" s="2" t="e">
        <f>AVERAGE(Table66[Boon]) - L38</f>
        <v>#DIV/0!</v>
      </c>
      <c r="M39" s="2" t="e">
        <f>AVERAGE(Table66[Alibaba]) - M38</f>
        <v>#DIV/0!</v>
      </c>
      <c r="N39" s="2">
        <f>AVERAGE(Table66[Gson]) - N38</f>
        <v>906.2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1650.6000000000001</v>
      </c>
      <c r="D40" s="2">
        <f t="shared" si="0"/>
        <v>1030.8</v>
      </c>
      <c r="E40" s="2" t="e">
        <f t="shared" ref="E40" si="1">E41 - E39 - E38</f>
        <v>#DIV/0!</v>
      </c>
      <c r="F40" s="2">
        <f t="shared" si="0"/>
        <v>1711.4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891</v>
      </c>
      <c r="J40" s="2">
        <f t="shared" ref="J40" si="3">J41 - J39 - J38</f>
        <v>354.2</v>
      </c>
      <c r="K40" s="2" t="e">
        <f t="shared" ref="K40:L40" si="4">K41 - K39 - K38</f>
        <v>#VALUE!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1111.2</v>
      </c>
      <c r="O40" s="2"/>
      <c r="P40" s="2"/>
      <c r="Q40" s="2"/>
    </row>
    <row r="41" spans="2:17" x14ac:dyDescent="0.25">
      <c r="B41" t="s">
        <v>25</v>
      </c>
      <c r="C41" s="2">
        <f>AVERAGE(Table68[Newtonsoft])</f>
        <v>3075.8</v>
      </c>
      <c r="D41" s="2">
        <f>AVERAGE(Table68[Revenj])</f>
        <v>1832</v>
      </c>
      <c r="E41" s="2" t="e">
        <f>AVERAGE(Table68[fastJSON])</f>
        <v>#DIV/0!</v>
      </c>
      <c r="F41" s="2">
        <f>AVERAGE(Table68[Service Stack])</f>
        <v>3162.4</v>
      </c>
      <c r="G41" s="2" t="e">
        <f>AVERAGE(Table68[Jil])</f>
        <v>#DIV/0!</v>
      </c>
      <c r="H41" s="2" t="e">
        <f>AVERAGE(Table68[NetJSON])</f>
        <v>#DIV/0!</v>
      </c>
      <c r="I41" s="2">
        <f>AVERAGE(Table68[Jackson])</f>
        <v>1631</v>
      </c>
      <c r="J41" s="2">
        <f>AVERAGE(Table68[DSL Platform Java])</f>
        <v>551.4</v>
      </c>
      <c r="K41" s="4" t="s">
        <v>53</v>
      </c>
      <c r="L41" s="2" t="e">
        <f>AVERAGE(Table68[Boon])</f>
        <v>#DIV/0!</v>
      </c>
      <c r="M41" s="2" t="e">
        <f>AVERAGE(Table68[Alibaba])</f>
        <v>#DIV/0!</v>
      </c>
      <c r="N41" s="2">
        <f>AVERAGE(Table68[Gson])</f>
        <v>2126.8000000000002</v>
      </c>
      <c r="O41" s="2"/>
      <c r="P41" s="2"/>
      <c r="Q41" s="2"/>
    </row>
    <row r="42" spans="2:17" x14ac:dyDescent="0.25">
      <c r="B42" t="s">
        <v>4</v>
      </c>
      <c r="C42" s="3">
        <f>AVERAGE(Table66[Newtonsoft (size)])</f>
        <v>23146001</v>
      </c>
      <c r="D42" s="3">
        <f>AVERAGE(Table66[Revenj (size)])</f>
        <v>18939843</v>
      </c>
      <c r="E42" s="3" t="e">
        <f>AVERAGE(Table66[fastJSON (size)])</f>
        <v>#DIV/0!</v>
      </c>
      <c r="F42" s="3">
        <f>AVERAGE(Table66[Service Stack (size)])</f>
        <v>18307918</v>
      </c>
      <c r="G42" s="2" t="e">
        <f>AVERAGE(Table66[Jil (size)])</f>
        <v>#DIV/0!</v>
      </c>
      <c r="H42" s="2" t="e">
        <f>AVERAGE(Table66[NetJSON (size)])</f>
        <v>#DIV/0!</v>
      </c>
      <c r="I42" s="2">
        <f>AVERAGE(Table66[Jackson (size)])</f>
        <v>18539843</v>
      </c>
      <c r="J42" s="2">
        <f>AVERAGE(Table66[DSL Platform Java (size)])</f>
        <v>18539843</v>
      </c>
      <c r="K42" s="2">
        <f>AVERAGE(Table66[Genson (size)])</f>
        <v>21699332</v>
      </c>
      <c r="L42" s="2" t="e">
        <f>AVERAGE(Table66[Boon (size)])</f>
        <v>#DIV/0!</v>
      </c>
      <c r="M42" s="2" t="e">
        <f>AVERAGE(Table66[Alibaba (size)])</f>
        <v>#DIV/0!</v>
      </c>
      <c r="N42" s="2">
        <f>AVERAGE(Table66[Gson (size)])</f>
        <v>18541254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DEVSQ(Table66[Newtonsoft])</f>
        <v>666.8</v>
      </c>
      <c r="D47" s="2">
        <f>DEVSQ(Table66[Revenj])</f>
        <v>438.8</v>
      </c>
      <c r="E47" s="2" t="e">
        <f>DEVSQ(Table66[fastJSON])</f>
        <v>#NUM!</v>
      </c>
      <c r="F47" s="2">
        <f>DEVSQ(Table66[Service Stack])</f>
        <v>674</v>
      </c>
      <c r="G47" s="2" t="e">
        <f>DEVSQ(Table66[Jil])</f>
        <v>#NUM!</v>
      </c>
      <c r="H47" s="2" t="e">
        <f>DEVSQ(Table66[NetJSON])</f>
        <v>#NUM!</v>
      </c>
      <c r="I47" s="2">
        <f>DEVSQ(Table66[Jackson])</f>
        <v>4438</v>
      </c>
      <c r="J47" s="2">
        <f>DEVSQ(Table66[DSL Platform Java])</f>
        <v>222.79999999999998</v>
      </c>
      <c r="K47" s="2">
        <f>DEVSQ(Table66[Genson])</f>
        <v>234</v>
      </c>
      <c r="L47" s="2" t="e">
        <f>DEVSQ(Table66[Boon])</f>
        <v>#NUM!</v>
      </c>
      <c r="M47" s="2" t="e">
        <f>DEVSQ(Table66[Alibaba])</f>
        <v>#NUM!</v>
      </c>
      <c r="N47" s="2">
        <f>DEVSQ(Table66[Gson])</f>
        <v>5361.2</v>
      </c>
      <c r="O47" s="2"/>
      <c r="P47" s="2"/>
      <c r="Q47" s="2"/>
    </row>
    <row r="48" spans="2:17" x14ac:dyDescent="0.25">
      <c r="B48" t="s">
        <v>25</v>
      </c>
      <c r="C48" s="2">
        <f>DEVSQ(Table68[Newtonsoft])</f>
        <v>674.8</v>
      </c>
      <c r="D48" s="2">
        <f>DEVSQ(Table68[Revenj])</f>
        <v>54</v>
      </c>
      <c r="E48" s="2" t="e">
        <f>DEVSQ(Table68[fastJSON])</f>
        <v>#NUM!</v>
      </c>
      <c r="F48" s="2">
        <f>DEVSQ(Table68[Service Stack])</f>
        <v>2341.1999999999998</v>
      </c>
      <c r="G48" s="2" t="e">
        <f>DEVSQ(Table68[Jil])</f>
        <v>#NUM!</v>
      </c>
      <c r="H48" s="2" t="e">
        <f>DEVSQ(Table68[NetJSON])</f>
        <v>#NUM!</v>
      </c>
      <c r="I48" s="2">
        <f>DEVSQ(Table68[Jackson])</f>
        <v>26114</v>
      </c>
      <c r="J48" s="2">
        <f>DEVSQ(Table68[DSL Platform Java])</f>
        <v>1189.2</v>
      </c>
      <c r="K48" s="2">
        <f>DEVSQ(Table68[Genson])</f>
        <v>10088.799999999999</v>
      </c>
      <c r="L48" s="2" t="e">
        <f>DEVSQ(Table68[Boon])</f>
        <v>#NUM!</v>
      </c>
      <c r="M48" s="2" t="e">
        <f>DEVSQ(Table68[Alibaba])</f>
        <v>#NUM!</v>
      </c>
      <c r="N48" s="2">
        <f>DEVSQ(Table68[Gson])</f>
        <v>2658.8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366</v>
      </c>
      <c r="C52">
        <v>381</v>
      </c>
      <c r="E52">
        <v>372</v>
      </c>
      <c r="H52">
        <v>106</v>
      </c>
      <c r="I52">
        <v>55</v>
      </c>
      <c r="J52">
        <v>94</v>
      </c>
      <c r="M52">
        <v>109</v>
      </c>
    </row>
    <row r="53" spans="2:25" x14ac:dyDescent="0.25">
      <c r="B53">
        <v>363</v>
      </c>
      <c r="C53">
        <v>370</v>
      </c>
      <c r="E53">
        <v>363</v>
      </c>
      <c r="H53">
        <v>105</v>
      </c>
      <c r="I53">
        <v>57</v>
      </c>
      <c r="J53">
        <v>94</v>
      </c>
      <c r="M53">
        <v>112</v>
      </c>
    </row>
    <row r="54" spans="2:25" x14ac:dyDescent="0.25">
      <c r="B54">
        <v>371</v>
      </c>
      <c r="C54">
        <v>378</v>
      </c>
      <c r="E54">
        <v>363</v>
      </c>
      <c r="H54">
        <v>105</v>
      </c>
      <c r="I54">
        <v>56</v>
      </c>
      <c r="J54">
        <v>95</v>
      </c>
      <c r="M54">
        <v>109</v>
      </c>
    </row>
    <row r="55" spans="2:25" x14ac:dyDescent="0.25">
      <c r="B55">
        <v>361</v>
      </c>
      <c r="C55">
        <v>381</v>
      </c>
      <c r="E55">
        <v>359</v>
      </c>
      <c r="H55">
        <v>105</v>
      </c>
      <c r="I55">
        <v>57</v>
      </c>
      <c r="J55">
        <v>94</v>
      </c>
      <c r="M55">
        <v>107</v>
      </c>
    </row>
    <row r="56" spans="2:25" x14ac:dyDescent="0.25">
      <c r="B56">
        <v>360</v>
      </c>
      <c r="C56">
        <v>376</v>
      </c>
      <c r="E56">
        <v>366</v>
      </c>
      <c r="H56">
        <v>104</v>
      </c>
      <c r="I56">
        <v>56</v>
      </c>
      <c r="J56">
        <v>94</v>
      </c>
      <c r="M56">
        <v>110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1408</v>
      </c>
      <c r="C60">
        <v>789</v>
      </c>
      <c r="E60">
        <v>1467</v>
      </c>
      <c r="H60">
        <v>757</v>
      </c>
      <c r="I60">
        <v>202</v>
      </c>
      <c r="J60">
        <v>966</v>
      </c>
      <c r="M60">
        <v>1048</v>
      </c>
      <c r="N60">
        <v>23146001</v>
      </c>
      <c r="O60">
        <v>18939843</v>
      </c>
      <c r="Q60">
        <v>18307918</v>
      </c>
      <c r="T60">
        <v>18539843</v>
      </c>
      <c r="U60">
        <v>18539843</v>
      </c>
      <c r="V60">
        <v>21699332</v>
      </c>
      <c r="Y60">
        <v>18541254</v>
      </c>
    </row>
    <row r="61" spans="2:25" x14ac:dyDescent="0.25">
      <c r="B61">
        <v>1431</v>
      </c>
      <c r="C61">
        <v>798</v>
      </c>
      <c r="E61">
        <v>1435</v>
      </c>
      <c r="H61">
        <v>744</v>
      </c>
      <c r="I61">
        <v>190</v>
      </c>
      <c r="J61">
        <v>975</v>
      </c>
      <c r="M61">
        <v>1048</v>
      </c>
      <c r="N61">
        <v>23146001</v>
      </c>
      <c r="O61">
        <v>18939843</v>
      </c>
      <c r="Q61">
        <v>18307918</v>
      </c>
      <c r="T61">
        <v>18539843</v>
      </c>
      <c r="U61">
        <v>18539843</v>
      </c>
      <c r="V61">
        <v>21699332</v>
      </c>
      <c r="Y61">
        <v>18541254</v>
      </c>
    </row>
    <row r="62" spans="2:25" x14ac:dyDescent="0.25">
      <c r="B62">
        <v>1436</v>
      </c>
      <c r="C62">
        <v>796</v>
      </c>
      <c r="E62">
        <v>1442</v>
      </c>
      <c r="H62">
        <v>752</v>
      </c>
      <c r="I62">
        <v>189</v>
      </c>
      <c r="J62">
        <v>969</v>
      </c>
      <c r="M62">
        <v>959</v>
      </c>
      <c r="N62">
        <v>23146001</v>
      </c>
      <c r="O62">
        <v>18939843</v>
      </c>
      <c r="Q62">
        <v>18307918</v>
      </c>
      <c r="T62">
        <v>18539843</v>
      </c>
      <c r="U62">
        <v>18539843</v>
      </c>
      <c r="V62">
        <v>21699332</v>
      </c>
      <c r="Y62">
        <v>18541254</v>
      </c>
    </row>
    <row r="63" spans="2:25" x14ac:dyDescent="0.25">
      <c r="B63">
        <v>1436</v>
      </c>
      <c r="C63">
        <v>807</v>
      </c>
      <c r="E63">
        <v>1451</v>
      </c>
      <c r="H63">
        <v>682</v>
      </c>
      <c r="I63">
        <v>199</v>
      </c>
      <c r="J63">
        <v>966</v>
      </c>
      <c r="M63">
        <v>1015</v>
      </c>
      <c r="N63">
        <v>23146001</v>
      </c>
      <c r="O63">
        <v>18939843</v>
      </c>
      <c r="Q63">
        <v>18307918</v>
      </c>
      <c r="T63">
        <v>18539843</v>
      </c>
      <c r="U63">
        <v>18539843</v>
      </c>
      <c r="V63">
        <v>21699332</v>
      </c>
      <c r="Y63">
        <v>18541254</v>
      </c>
    </row>
    <row r="64" spans="2:25" x14ac:dyDescent="0.25">
      <c r="B64">
        <v>1415</v>
      </c>
      <c r="C64">
        <v>816</v>
      </c>
      <c r="E64">
        <v>1460</v>
      </c>
      <c r="H64">
        <v>765</v>
      </c>
      <c r="I64">
        <v>206</v>
      </c>
      <c r="J64">
        <v>984</v>
      </c>
      <c r="M64">
        <v>1008</v>
      </c>
      <c r="N64">
        <v>23146001</v>
      </c>
      <c r="O64">
        <v>18939843</v>
      </c>
      <c r="Q64">
        <v>18307918</v>
      </c>
      <c r="T64">
        <v>18539843</v>
      </c>
      <c r="U64">
        <v>18539843</v>
      </c>
      <c r="V64">
        <v>21699332</v>
      </c>
      <c r="Y64">
        <v>18541254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3057</v>
      </c>
      <c r="C68">
        <v>1829</v>
      </c>
      <c r="E68">
        <v>3126</v>
      </c>
      <c r="H68">
        <v>1508</v>
      </c>
      <c r="I68">
        <v>537</v>
      </c>
      <c r="J68">
        <v>1836</v>
      </c>
      <c r="M68">
        <v>2154</v>
      </c>
    </row>
    <row r="69" spans="2:13" x14ac:dyDescent="0.25">
      <c r="B69">
        <v>3081</v>
      </c>
      <c r="C69">
        <v>1833</v>
      </c>
      <c r="E69">
        <v>3187</v>
      </c>
      <c r="H69">
        <v>1670</v>
      </c>
      <c r="I69">
        <v>561</v>
      </c>
      <c r="J69">
        <v>1894</v>
      </c>
      <c r="M69">
        <v>2130</v>
      </c>
    </row>
    <row r="70" spans="2:13" x14ac:dyDescent="0.25">
      <c r="B70">
        <v>3068</v>
      </c>
      <c r="C70">
        <v>1830</v>
      </c>
      <c r="E70">
        <v>3180</v>
      </c>
      <c r="H70">
        <v>1649</v>
      </c>
      <c r="I70">
        <v>574</v>
      </c>
      <c r="J70">
        <v>1931</v>
      </c>
      <c r="M70">
        <v>2147</v>
      </c>
    </row>
    <row r="71" spans="2:13" x14ac:dyDescent="0.25">
      <c r="B71">
        <v>3088</v>
      </c>
      <c r="C71">
        <v>1830</v>
      </c>
      <c r="E71">
        <v>3166</v>
      </c>
      <c r="H71">
        <v>1605</v>
      </c>
      <c r="I71">
        <v>532</v>
      </c>
      <c r="J71">
        <v>1898</v>
      </c>
      <c r="M71">
        <v>2112</v>
      </c>
    </row>
    <row r="72" spans="2:13" x14ac:dyDescent="0.25">
      <c r="B72">
        <v>3085</v>
      </c>
      <c r="C72">
        <v>1838</v>
      </c>
      <c r="E72">
        <v>3153</v>
      </c>
      <c r="H72">
        <v>1723</v>
      </c>
      <c r="I72">
        <v>553</v>
      </c>
      <c r="J72">
        <v>1972</v>
      </c>
      <c r="M72">
        <v>2091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72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47</v>
      </c>
    </row>
    <row r="37" spans="2:17" x14ac:dyDescent="0.25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AVERAGE(Table72[Newtonsoft])</f>
        <v>1566.8</v>
      </c>
      <c r="D38" s="2">
        <f>AVERAGE(Table72[Revenj])</f>
        <v>1607.2</v>
      </c>
      <c r="E38" s="2" t="e">
        <f>AVERAGE(Table72[fastJSON])</f>
        <v>#DIV/0!</v>
      </c>
      <c r="F38" s="2">
        <f>AVERAGE(Table72[Service Stack])</f>
        <v>1565</v>
      </c>
      <c r="G38" s="2" t="e">
        <f>AVERAGE(Table72[Jil])</f>
        <v>#DIV/0!</v>
      </c>
      <c r="H38" s="2" t="e">
        <f>AVERAGE(Table72[NetJSON])</f>
        <v>#DIV/0!</v>
      </c>
      <c r="I38" s="2">
        <f>AVERAGE(Table72[Jackson])</f>
        <v>254.6</v>
      </c>
      <c r="J38" s="2">
        <f>AVERAGE(Table72[DSL Platform Java])</f>
        <v>203</v>
      </c>
      <c r="K38" s="2">
        <f>AVERAGE(Table72[Genson])</f>
        <v>241.4</v>
      </c>
      <c r="L38" s="2" t="e">
        <f>AVERAGE(Table72[Boon])</f>
        <v>#DIV/0!</v>
      </c>
      <c r="M38" s="2" t="e">
        <f>AVERAGE(Table72[Alibaba])</f>
        <v>#DIV/0!</v>
      </c>
      <c r="N38" s="2">
        <f>AVERAGE(Table72[Gson])</f>
        <v>257</v>
      </c>
      <c r="O38" s="2"/>
      <c r="P38" s="2"/>
      <c r="Q38" s="2"/>
    </row>
    <row r="39" spans="2:17" x14ac:dyDescent="0.25">
      <c r="B39" t="s">
        <v>0</v>
      </c>
      <c r="C39" s="2">
        <f>AVERAGE(Table71[Newtonsoft]) - C38</f>
        <v>10287.6</v>
      </c>
      <c r="D39" s="2">
        <f>AVERAGE(Table71[Revenj]) - D38</f>
        <v>4272</v>
      </c>
      <c r="E39" s="2" t="e">
        <f>AVERAGE(Table71[fastJSON]) - E38</f>
        <v>#DIV/0!</v>
      </c>
      <c r="F39" s="2">
        <f>AVERAGE(Table71[Service Stack]) - F38</f>
        <v>9813.2000000000007</v>
      </c>
      <c r="G39" s="2" t="e">
        <f>AVERAGE(Table71[Jil]) - G38</f>
        <v>#DIV/0!</v>
      </c>
      <c r="H39" s="2" t="e">
        <f>AVERAGE(Table71[NetJSON]) - H38</f>
        <v>#DIV/0!</v>
      </c>
      <c r="I39" s="2">
        <f>AVERAGE(Table71[Jackson]) - I38</f>
        <v>2529.4</v>
      </c>
      <c r="J39" s="2">
        <f>AVERAGE(Table71[DSL Platform Java]) - J38</f>
        <v>865.2</v>
      </c>
      <c r="K39" s="2">
        <f>AVERAGE(Table71[Genson]) - K38</f>
        <v>6532.4000000000005</v>
      </c>
      <c r="L39" s="2" t="e">
        <f>AVERAGE(Table71[Boon]) - L38</f>
        <v>#DIV/0!</v>
      </c>
      <c r="M39" s="2" t="e">
        <f>AVERAGE(Table71[Alibaba]) - M38</f>
        <v>#DIV/0!</v>
      </c>
      <c r="N39" s="2">
        <f>AVERAGE(Table71[Gson]) - N38</f>
        <v>6302.6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16018.8</v>
      </c>
      <c r="D40" s="2">
        <f t="shared" si="0"/>
        <v>10307.4</v>
      </c>
      <c r="E40" s="2" t="e">
        <f t="shared" ref="E40" si="1">E41 - E39 - E38</f>
        <v>#DIV/0!</v>
      </c>
      <c r="F40" s="2">
        <f t="shared" si="0"/>
        <v>17119.2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5768.4</v>
      </c>
      <c r="J40" s="2">
        <f t="shared" ref="J40" si="3">J41 - J39 - J38</f>
        <v>1304.8</v>
      </c>
      <c r="K40" s="2" t="e">
        <f t="shared" ref="K40:L40" si="4">K41 - K39 - K38</f>
        <v>#VALUE!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8136.6</v>
      </c>
      <c r="O40" s="2"/>
      <c r="P40" s="2"/>
      <c r="Q40" s="2"/>
    </row>
    <row r="41" spans="2:17" x14ac:dyDescent="0.25">
      <c r="B41" t="s">
        <v>25</v>
      </c>
      <c r="C41" s="2">
        <f>AVERAGE(Table73[Newtonsoft])</f>
        <v>27873.200000000001</v>
      </c>
      <c r="D41" s="2">
        <f>AVERAGE(Table73[Revenj])</f>
        <v>16186.6</v>
      </c>
      <c r="E41" s="2" t="e">
        <f>AVERAGE(Table73[fastJSON])</f>
        <v>#DIV/0!</v>
      </c>
      <c r="F41" s="2">
        <f>AVERAGE(Table73[Service Stack])</f>
        <v>28497.4</v>
      </c>
      <c r="G41" s="2" t="e">
        <f>AVERAGE(Table73[Jil])</f>
        <v>#DIV/0!</v>
      </c>
      <c r="H41" s="2" t="e">
        <f>AVERAGE(Table73[NetJSON])</f>
        <v>#DIV/0!</v>
      </c>
      <c r="I41" s="2">
        <f>AVERAGE(Table73[Jackson])</f>
        <v>8552.4</v>
      </c>
      <c r="J41" s="2">
        <f>AVERAGE(Table73[DSL Platform Java])</f>
        <v>2373</v>
      </c>
      <c r="K41" s="4" t="s">
        <v>53</v>
      </c>
      <c r="L41" s="2" t="e">
        <f>AVERAGE(Table73[Boon])</f>
        <v>#DIV/0!</v>
      </c>
      <c r="M41" s="2" t="e">
        <f>AVERAGE(Table73[Alibaba])</f>
        <v>#DIV/0!</v>
      </c>
      <c r="N41" s="2">
        <f>AVERAGE(Table73[Gson])</f>
        <v>14696.2</v>
      </c>
      <c r="O41" s="2"/>
      <c r="P41" s="2"/>
      <c r="Q41" s="2"/>
    </row>
    <row r="42" spans="2:17" x14ac:dyDescent="0.25">
      <c r="B42" t="s">
        <v>4</v>
      </c>
      <c r="C42" s="3">
        <f>AVERAGE(Table71[Newtonsoft (size)])</f>
        <v>240523562</v>
      </c>
      <c r="D42" s="3">
        <f>AVERAGE(Table71[Revenj (size)])</f>
        <v>198074556</v>
      </c>
      <c r="E42" s="3" t="e">
        <f>AVERAGE(Table71[fastJSON (size)])</f>
        <v>#DIV/0!</v>
      </c>
      <c r="F42" s="3">
        <f>AVERAGE(Table71[Service Stack (size)])</f>
        <v>192142631</v>
      </c>
      <c r="G42" s="2" t="e">
        <f>AVERAGE(Table71[Jil (size)])</f>
        <v>#DIV/0!</v>
      </c>
      <c r="H42" s="2" t="e">
        <f>AVERAGE(Table71[NetJSON (size)])</f>
        <v>#DIV/0!</v>
      </c>
      <c r="I42" s="2">
        <f>AVERAGE(Table71[Jackson (size)])</f>
        <v>194474556</v>
      </c>
      <c r="J42" s="2">
        <f>AVERAGE(Table71[DSL Platform Java (size)])</f>
        <v>194474556</v>
      </c>
      <c r="K42" s="2">
        <f>AVERAGE(Table71[Genson (size)])</f>
        <v>226056893</v>
      </c>
      <c r="L42" s="2" t="e">
        <f>AVERAGE(Table71[Boon (size)])</f>
        <v>#DIV/0!</v>
      </c>
      <c r="M42" s="2" t="e">
        <f>AVERAGE(Table71[Alibaba (size)])</f>
        <v>#DIV/0!</v>
      </c>
      <c r="N42" s="2">
        <f>AVERAGE(Table71[Gson (size)])</f>
        <v>194475967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DEVSQ(Table71[Newtonsoft])</f>
        <v>86929.2</v>
      </c>
      <c r="D47" s="2">
        <f>DEVSQ(Table71[Revenj])</f>
        <v>12150.8</v>
      </c>
      <c r="E47" s="2" t="e">
        <f>DEVSQ(Table71[fastJSON])</f>
        <v>#NUM!</v>
      </c>
      <c r="F47" s="2">
        <f>DEVSQ(Table71[Service Stack])</f>
        <v>143482.79999999999</v>
      </c>
      <c r="G47" s="2" t="e">
        <f>DEVSQ(Table71[Jil])</f>
        <v>#NUM!</v>
      </c>
      <c r="H47" s="2" t="e">
        <f>DEVSQ(Table71[NetJSON])</f>
        <v>#NUM!</v>
      </c>
      <c r="I47" s="2">
        <f>DEVSQ(Table71[Jackson])</f>
        <v>19736</v>
      </c>
      <c r="J47" s="2">
        <f>DEVSQ(Table71[DSL Platform Java])</f>
        <v>242.8</v>
      </c>
      <c r="K47" s="2">
        <f>DEVSQ(Table71[Genson])</f>
        <v>69252.799999999988</v>
      </c>
      <c r="L47" s="2" t="e">
        <f>DEVSQ(Table71[Boon])</f>
        <v>#NUM!</v>
      </c>
      <c r="M47" s="2" t="e">
        <f>DEVSQ(Table71[Alibaba])</f>
        <v>#NUM!</v>
      </c>
      <c r="N47" s="2">
        <f>DEVSQ(Table71[Gson])</f>
        <v>69771.199999999983</v>
      </c>
      <c r="O47" s="2"/>
      <c r="P47" s="2"/>
      <c r="Q47" s="2"/>
    </row>
    <row r="48" spans="2:17" x14ac:dyDescent="0.25">
      <c r="B48" t="s">
        <v>25</v>
      </c>
      <c r="C48" s="2">
        <f>DEVSQ(Table73[Newtonsoft])</f>
        <v>200256.80000000002</v>
      </c>
      <c r="D48" s="2">
        <f>DEVSQ(Table73[Revenj])</f>
        <v>37799.199999999997</v>
      </c>
      <c r="E48" s="2" t="e">
        <f>DEVSQ(Table73[fastJSON])</f>
        <v>#NUM!</v>
      </c>
      <c r="F48" s="2">
        <f>DEVSQ(Table73[Service Stack])</f>
        <v>637481.19999999995</v>
      </c>
      <c r="G48" s="2" t="e">
        <f>DEVSQ(Table73[Jil])</f>
        <v>#NUM!</v>
      </c>
      <c r="H48" s="2" t="e">
        <f>DEVSQ(Table73[NetJSON])</f>
        <v>#NUM!</v>
      </c>
      <c r="I48" s="2">
        <f>DEVSQ(Table73[Jackson])</f>
        <v>8033.2000000000007</v>
      </c>
      <c r="J48" s="2">
        <f>DEVSQ(Table73[DSL Platform Java])</f>
        <v>10598</v>
      </c>
      <c r="K48" s="2">
        <f>DEVSQ(Table73[Genson])</f>
        <v>218954</v>
      </c>
      <c r="L48" s="2" t="e">
        <f>DEVSQ(Table73[Boon])</f>
        <v>#NUM!</v>
      </c>
      <c r="M48" s="2" t="e">
        <f>DEVSQ(Table73[Alibaba])</f>
        <v>#NUM!</v>
      </c>
      <c r="N48" s="2">
        <f>DEVSQ(Table73[Gson])</f>
        <v>56300.800000000003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1516</v>
      </c>
      <c r="C52">
        <v>1605</v>
      </c>
      <c r="E52">
        <v>1553</v>
      </c>
      <c r="H52">
        <v>250</v>
      </c>
      <c r="I52">
        <v>208</v>
      </c>
      <c r="J52">
        <v>237</v>
      </c>
      <c r="M52">
        <v>254</v>
      </c>
    </row>
    <row r="53" spans="2:25" x14ac:dyDescent="0.25">
      <c r="B53">
        <v>1574</v>
      </c>
      <c r="C53">
        <v>1648</v>
      </c>
      <c r="E53">
        <v>1545</v>
      </c>
      <c r="H53">
        <v>247</v>
      </c>
      <c r="I53">
        <v>204</v>
      </c>
      <c r="J53">
        <v>238</v>
      </c>
      <c r="M53">
        <v>262</v>
      </c>
    </row>
    <row r="54" spans="2:25" x14ac:dyDescent="0.25">
      <c r="B54">
        <v>1572</v>
      </c>
      <c r="C54">
        <v>1633</v>
      </c>
      <c r="E54">
        <v>1571</v>
      </c>
      <c r="H54">
        <v>254</v>
      </c>
      <c r="I54">
        <v>205</v>
      </c>
      <c r="J54">
        <v>246</v>
      </c>
      <c r="M54">
        <v>252</v>
      </c>
    </row>
    <row r="55" spans="2:25" x14ac:dyDescent="0.25">
      <c r="B55">
        <v>1544</v>
      </c>
      <c r="C55">
        <v>1590</v>
      </c>
      <c r="E55">
        <v>1581</v>
      </c>
      <c r="H55">
        <v>258</v>
      </c>
      <c r="I55">
        <v>200</v>
      </c>
      <c r="J55">
        <v>248</v>
      </c>
      <c r="M55">
        <v>258</v>
      </c>
    </row>
    <row r="56" spans="2:25" x14ac:dyDescent="0.25">
      <c r="B56">
        <v>1628</v>
      </c>
      <c r="C56">
        <v>1560</v>
      </c>
      <c r="E56">
        <v>1575</v>
      </c>
      <c r="H56">
        <v>264</v>
      </c>
      <c r="I56">
        <v>198</v>
      </c>
      <c r="J56">
        <v>238</v>
      </c>
      <c r="M56">
        <v>259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11776</v>
      </c>
      <c r="C60">
        <v>5842</v>
      </c>
      <c r="E60">
        <v>11359</v>
      </c>
      <c r="H60">
        <v>2893</v>
      </c>
      <c r="I60">
        <v>1071</v>
      </c>
      <c r="J60">
        <v>6859</v>
      </c>
      <c r="M60">
        <v>6340</v>
      </c>
      <c r="N60">
        <v>240523562</v>
      </c>
      <c r="O60">
        <v>198474556</v>
      </c>
      <c r="Q60">
        <v>192142631</v>
      </c>
      <c r="T60">
        <v>194474556</v>
      </c>
      <c r="U60">
        <v>194474556</v>
      </c>
      <c r="V60">
        <v>226056893</v>
      </c>
      <c r="Y60">
        <v>194475967</v>
      </c>
    </row>
    <row r="61" spans="2:25" x14ac:dyDescent="0.25">
      <c r="B61">
        <v>11668</v>
      </c>
      <c r="C61">
        <v>5930</v>
      </c>
      <c r="E61">
        <v>11267</v>
      </c>
      <c r="H61">
        <v>2709</v>
      </c>
      <c r="I61">
        <v>1064</v>
      </c>
      <c r="J61">
        <v>6952</v>
      </c>
      <c r="M61">
        <v>6546</v>
      </c>
      <c r="N61">
        <v>240523562</v>
      </c>
      <c r="O61">
        <v>198474556</v>
      </c>
      <c r="Q61">
        <v>192142631</v>
      </c>
      <c r="T61">
        <v>194474556</v>
      </c>
      <c r="U61">
        <v>194474556</v>
      </c>
      <c r="V61">
        <v>226056893</v>
      </c>
      <c r="Y61">
        <v>194475967</v>
      </c>
    </row>
    <row r="62" spans="2:25" x14ac:dyDescent="0.25">
      <c r="B62">
        <v>11831</v>
      </c>
      <c r="C62">
        <v>5896</v>
      </c>
      <c r="E62">
        <v>11228</v>
      </c>
      <c r="H62">
        <v>2781</v>
      </c>
      <c r="I62">
        <v>1057</v>
      </c>
      <c r="J62">
        <v>6620</v>
      </c>
      <c r="M62">
        <v>6604</v>
      </c>
      <c r="N62">
        <v>240523562</v>
      </c>
      <c r="O62">
        <v>196474556</v>
      </c>
      <c r="Q62">
        <v>192142631</v>
      </c>
      <c r="T62">
        <v>194474556</v>
      </c>
      <c r="U62">
        <v>194474556</v>
      </c>
      <c r="V62">
        <v>226056893</v>
      </c>
      <c r="Y62">
        <v>194475967</v>
      </c>
    </row>
    <row r="63" spans="2:25" x14ac:dyDescent="0.25">
      <c r="B63">
        <v>11954</v>
      </c>
      <c r="C63">
        <v>5925</v>
      </c>
      <c r="E63">
        <v>11333</v>
      </c>
      <c r="H63">
        <v>2798</v>
      </c>
      <c r="I63">
        <v>1072</v>
      </c>
      <c r="J63">
        <v>6736</v>
      </c>
      <c r="M63">
        <v>6626</v>
      </c>
      <c r="N63">
        <v>240523562</v>
      </c>
      <c r="O63">
        <v>198474556</v>
      </c>
      <c r="Q63">
        <v>192142631</v>
      </c>
      <c r="T63">
        <v>194474556</v>
      </c>
      <c r="U63">
        <v>194474556</v>
      </c>
      <c r="V63">
        <v>226056893</v>
      </c>
      <c r="Y63">
        <v>194475967</v>
      </c>
    </row>
    <row r="64" spans="2:25" x14ac:dyDescent="0.25">
      <c r="B64">
        <v>12043</v>
      </c>
      <c r="C64">
        <v>5803</v>
      </c>
      <c r="E64">
        <v>11704</v>
      </c>
      <c r="H64">
        <v>2739</v>
      </c>
      <c r="I64">
        <v>1077</v>
      </c>
      <c r="J64">
        <v>6702</v>
      </c>
      <c r="M64">
        <v>6682</v>
      </c>
      <c r="N64">
        <v>240523562</v>
      </c>
      <c r="O64">
        <v>198474556</v>
      </c>
      <c r="Q64">
        <v>192142631</v>
      </c>
      <c r="T64">
        <v>194474556</v>
      </c>
      <c r="U64">
        <v>194474556</v>
      </c>
      <c r="V64">
        <v>226056893</v>
      </c>
      <c r="Y64">
        <v>194475967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27773</v>
      </c>
      <c r="C68">
        <v>16025</v>
      </c>
      <c r="E68">
        <v>28677</v>
      </c>
      <c r="H68">
        <v>8626</v>
      </c>
      <c r="I68">
        <v>2397</v>
      </c>
      <c r="J68">
        <v>12801</v>
      </c>
      <c r="M68">
        <v>14634</v>
      </c>
    </row>
    <row r="69" spans="2:13" x14ac:dyDescent="0.25">
      <c r="B69">
        <v>27662</v>
      </c>
      <c r="C69">
        <v>16242</v>
      </c>
      <c r="E69">
        <v>28172</v>
      </c>
      <c r="H69">
        <v>8534</v>
      </c>
      <c r="I69">
        <v>2427</v>
      </c>
      <c r="J69">
        <v>12739</v>
      </c>
      <c r="M69">
        <v>14842</v>
      </c>
    </row>
    <row r="70" spans="2:13" x14ac:dyDescent="0.25">
      <c r="B70">
        <v>27875</v>
      </c>
      <c r="C70">
        <v>16216</v>
      </c>
      <c r="E70">
        <v>28019</v>
      </c>
      <c r="H70">
        <v>8520</v>
      </c>
      <c r="I70">
        <v>2380</v>
      </c>
      <c r="J70">
        <v>12825</v>
      </c>
      <c r="M70">
        <v>14600</v>
      </c>
    </row>
    <row r="71" spans="2:13" x14ac:dyDescent="0.25">
      <c r="B71">
        <v>28249</v>
      </c>
      <c r="C71">
        <v>16176</v>
      </c>
      <c r="E71">
        <v>29004</v>
      </c>
      <c r="H71">
        <v>8519</v>
      </c>
      <c r="I71">
        <v>2372</v>
      </c>
      <c r="J71">
        <v>13104</v>
      </c>
      <c r="M71">
        <v>14807</v>
      </c>
    </row>
    <row r="72" spans="2:13" x14ac:dyDescent="0.25">
      <c r="B72">
        <v>27807</v>
      </c>
      <c r="C72">
        <v>16274</v>
      </c>
      <c r="E72">
        <v>28615</v>
      </c>
      <c r="H72">
        <v>8563</v>
      </c>
      <c r="I72">
        <v>2289</v>
      </c>
      <c r="J72">
        <v>13286</v>
      </c>
      <c r="M72">
        <v>14598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72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48</v>
      </c>
    </row>
    <row r="37" spans="2:17" x14ac:dyDescent="0.25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AVERAGE(Table77[Newtonsoft])</f>
        <v>1347.8</v>
      </c>
      <c r="D38" s="2">
        <f>AVERAGE(Table77[Revenj])</f>
        <v>1317.2</v>
      </c>
      <c r="E38" s="2" t="e">
        <f>AVERAGE(Table77[fastJSON])</f>
        <v>#DIV/0!</v>
      </c>
      <c r="F38" s="2">
        <f>AVERAGE(Table77[Service Stack])</f>
        <v>1346</v>
      </c>
      <c r="G38" s="2" t="e">
        <f>AVERAGE(Table77[Jil])</f>
        <v>#DIV/0!</v>
      </c>
      <c r="H38" s="2" t="e">
        <f>AVERAGE(Table77[NetJSON])</f>
        <v>#DIV/0!</v>
      </c>
      <c r="I38" s="2">
        <f>AVERAGE(Table77[Jackson])</f>
        <v>244.2</v>
      </c>
      <c r="J38" s="2">
        <f>AVERAGE(Table77[DSL Platform Java])</f>
        <v>241.2</v>
      </c>
      <c r="K38" s="2">
        <f>AVERAGE(Table77[Genson])</f>
        <v>244.8</v>
      </c>
      <c r="L38" s="2" t="e">
        <f>AVERAGE(Table77[Boon])</f>
        <v>#DIV/0!</v>
      </c>
      <c r="M38" s="2" t="e">
        <f>AVERAGE(Table77[Alibaba])</f>
        <v>#DIV/0!</v>
      </c>
      <c r="N38" s="2">
        <f>AVERAGE(Table77[Gson])</f>
        <v>244</v>
      </c>
      <c r="O38" s="2"/>
      <c r="P38" s="2"/>
      <c r="Q38" s="2"/>
    </row>
    <row r="39" spans="2:17" x14ac:dyDescent="0.25">
      <c r="B39" t="s">
        <v>0</v>
      </c>
      <c r="C39" s="2">
        <f>AVERAGE(Table76[Newtonsoft]) - C38</f>
        <v>4087.8</v>
      </c>
      <c r="D39" s="2">
        <f>AVERAGE(Table76[Revenj]) - D38</f>
        <v>1039.8</v>
      </c>
      <c r="E39" s="2" t="e">
        <f>AVERAGE(Table76[fastJSON]) - E38</f>
        <v>#DIV/0!</v>
      </c>
      <c r="F39" s="2">
        <f>AVERAGE(Table76[Service Stack]) - F38</f>
        <v>2342.4</v>
      </c>
      <c r="G39" s="2" t="e">
        <f>AVERAGE(Table76[Jil]) - G38</f>
        <v>#DIV/0!</v>
      </c>
      <c r="H39" s="2" t="e">
        <f>AVERAGE(Table76[NetJSON]) - H38</f>
        <v>#DIV/0!</v>
      </c>
      <c r="I39" s="2">
        <f>AVERAGE(Table76[Jackson]) - I38</f>
        <v>1106.3999999999999</v>
      </c>
      <c r="J39" s="2">
        <f>AVERAGE(Table76[DSL Platform Java]) - J38</f>
        <v>443.2</v>
      </c>
      <c r="K39" s="2">
        <f>AVERAGE(Table76[Genson]) - K38</f>
        <v>1094.2</v>
      </c>
      <c r="L39" s="2" t="e">
        <f>AVERAGE(Table76[Boon]) - L38</f>
        <v>#DIV/0!</v>
      </c>
      <c r="M39" s="2" t="e">
        <f>AVERAGE(Table76[Alibaba]) - M38</f>
        <v>#DIV/0!</v>
      </c>
      <c r="N39" s="2">
        <f>AVERAGE(Table76[Gson]) - N38</f>
        <v>2060.8000000000002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3653.3999999999996</v>
      </c>
      <c r="D40" s="2">
        <f t="shared" si="0"/>
        <v>1974.6000000000001</v>
      </c>
      <c r="E40" s="2" t="e">
        <f t="shared" ref="E40" si="1">E41 - E39 - E38</f>
        <v>#DIV/0!</v>
      </c>
      <c r="F40" s="2">
        <f t="shared" si="0"/>
        <v>5512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1701</v>
      </c>
      <c r="J40" s="2">
        <f t="shared" ref="J40" si="3">J41 - J39 - J38</f>
        <v>358.00000000000006</v>
      </c>
      <c r="K40" s="2" t="e">
        <f t="shared" ref="K40:L40" si="4">K41 - K39 - K38</f>
        <v>#VALUE!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2111.3999999999996</v>
      </c>
      <c r="O40" s="2"/>
      <c r="P40" s="2"/>
      <c r="Q40" s="2"/>
    </row>
    <row r="41" spans="2:17" x14ac:dyDescent="0.25">
      <c r="B41" t="s">
        <v>25</v>
      </c>
      <c r="C41" s="2">
        <f>AVERAGE(Table78[Newtonsoft])</f>
        <v>9089</v>
      </c>
      <c r="D41" s="2">
        <f>AVERAGE(Table78[Revenj])</f>
        <v>4331.6000000000004</v>
      </c>
      <c r="E41" s="2" t="e">
        <f>AVERAGE(Table78[fastJSON])</f>
        <v>#DIV/0!</v>
      </c>
      <c r="F41" s="2">
        <f>AVERAGE(Table78[Service Stack])</f>
        <v>9200.4</v>
      </c>
      <c r="G41" s="2" t="e">
        <f>AVERAGE(Table78[Jil])</f>
        <v>#DIV/0!</v>
      </c>
      <c r="H41" s="2" t="e">
        <f>AVERAGE(Table78[NetJSON])</f>
        <v>#DIV/0!</v>
      </c>
      <c r="I41" s="2">
        <f>AVERAGE(Table78[Jackson])</f>
        <v>3051.6</v>
      </c>
      <c r="J41" s="2">
        <f>AVERAGE(Table78[DSL Platform Java])</f>
        <v>1042.4000000000001</v>
      </c>
      <c r="K41" s="4" t="s">
        <v>53</v>
      </c>
      <c r="L41" s="2" t="e">
        <f>AVERAGE(Table78[Boon])</f>
        <v>#DIV/0!</v>
      </c>
      <c r="M41" s="2" t="e">
        <f>AVERAGE(Table78[Alibaba])</f>
        <v>#DIV/0!</v>
      </c>
      <c r="N41" s="2">
        <f>AVERAGE(Table78[Gson])</f>
        <v>4416.2</v>
      </c>
      <c r="O41" s="2"/>
      <c r="P41" s="2"/>
      <c r="Q41" s="2"/>
    </row>
    <row r="42" spans="2:17" x14ac:dyDescent="0.25">
      <c r="B42" t="s">
        <v>4</v>
      </c>
      <c r="C42" s="3">
        <f>AVERAGE(Table76[Newtonsoft (size)])</f>
        <v>84013392</v>
      </c>
      <c r="D42" s="3">
        <f>AVERAGE(Table76[Revenj (size)])</f>
        <v>73425647</v>
      </c>
      <c r="E42" s="3" t="e">
        <f>AVERAGE(Table76[fastJSON (size)])</f>
        <v>#DIV/0!</v>
      </c>
      <c r="F42" s="3">
        <f>AVERAGE(Table76[Service Stack (size)])</f>
        <v>79509317</v>
      </c>
      <c r="G42" s="2" t="e">
        <f>AVERAGE(Table76[Jil (size)])</f>
        <v>#DIV/0!</v>
      </c>
      <c r="H42" s="2" t="e">
        <f>AVERAGE(Table76[NetJSON (size)])</f>
        <v>#DIV/0!</v>
      </c>
      <c r="I42" s="2">
        <f>AVERAGE(Table76[Jackson (size)])</f>
        <v>72855111</v>
      </c>
      <c r="J42" s="2">
        <f>AVERAGE(Table76[DSL Platform Java (size)])</f>
        <v>72799215</v>
      </c>
      <c r="K42" s="2">
        <f>AVERAGE(Table76[Genson (size)])</f>
        <v>76301917</v>
      </c>
      <c r="L42" s="2" t="e">
        <f>AVERAGE(Table76[Boon (size)])</f>
        <v>#DIV/0!</v>
      </c>
      <c r="M42" s="2" t="e">
        <f>AVERAGE(Table76[Alibaba (size)])</f>
        <v>#DIV/0!</v>
      </c>
      <c r="N42" s="2">
        <f>AVERAGE(Table76[Gson (size)])</f>
        <v>73117617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DEVSQ(Table76[Newtonsoft])</f>
        <v>17213.2</v>
      </c>
      <c r="D47" s="2">
        <f>DEVSQ(Table76[Revenj])</f>
        <v>3586</v>
      </c>
      <c r="E47" s="2" t="e">
        <f>DEVSQ(Table76[fastJSON])</f>
        <v>#NUM!</v>
      </c>
      <c r="F47" s="2">
        <f>DEVSQ(Table76[Service Stack])</f>
        <v>5859.1999999999989</v>
      </c>
      <c r="G47" s="2" t="e">
        <f>DEVSQ(Table76[Jil])</f>
        <v>#NUM!</v>
      </c>
      <c r="H47" s="2" t="e">
        <f>DEVSQ(Table76[NetJSON])</f>
        <v>#NUM!</v>
      </c>
      <c r="I47" s="2">
        <f>DEVSQ(Table76[Jackson])</f>
        <v>1889.2</v>
      </c>
      <c r="J47" s="2">
        <f>DEVSQ(Table76[DSL Platform Java])</f>
        <v>7461.2</v>
      </c>
      <c r="K47" s="2">
        <f>DEVSQ(Table76[Genson])</f>
        <v>15664</v>
      </c>
      <c r="L47" s="2" t="e">
        <f>DEVSQ(Table76[Boon])</f>
        <v>#NUM!</v>
      </c>
      <c r="M47" s="2" t="e">
        <f>DEVSQ(Table76[Alibaba])</f>
        <v>#NUM!</v>
      </c>
      <c r="N47" s="2">
        <f>DEVSQ(Table76[Gson])</f>
        <v>15504.8</v>
      </c>
      <c r="O47" s="2"/>
      <c r="P47" s="2"/>
      <c r="Q47" s="2"/>
    </row>
    <row r="48" spans="2:17" x14ac:dyDescent="0.25">
      <c r="B48" t="s">
        <v>25</v>
      </c>
      <c r="C48" s="2">
        <f>DEVSQ(Table78[Newtonsoft])</f>
        <v>8416</v>
      </c>
      <c r="D48" s="2">
        <f>DEVSQ(Table78[Revenj])</f>
        <v>7953.2000000000007</v>
      </c>
      <c r="E48" s="2" t="e">
        <f>DEVSQ(Table78[fastJSON])</f>
        <v>#NUM!</v>
      </c>
      <c r="F48" s="2">
        <f>DEVSQ(Table78[Service Stack])</f>
        <v>105077.2</v>
      </c>
      <c r="G48" s="2" t="e">
        <f>DEVSQ(Table78[Jil])</f>
        <v>#NUM!</v>
      </c>
      <c r="H48" s="2" t="e">
        <f>DEVSQ(Table78[NetJSON])</f>
        <v>#NUM!</v>
      </c>
      <c r="I48" s="2">
        <f>DEVSQ(Table78[Jackson])</f>
        <v>4587.2</v>
      </c>
      <c r="J48" s="2">
        <f>DEVSQ(Table78[DSL Platform Java])</f>
        <v>6917.2</v>
      </c>
      <c r="K48" s="2">
        <f>DEVSQ(Table78[Genson])</f>
        <v>10845.199999999999</v>
      </c>
      <c r="L48" s="2" t="e">
        <f>DEVSQ(Table78[Boon])</f>
        <v>#NUM!</v>
      </c>
      <c r="M48" s="2" t="e">
        <f>DEVSQ(Table78[Alibaba])</f>
        <v>#NUM!</v>
      </c>
      <c r="N48" s="2">
        <f>DEVSQ(Table78[Gson])</f>
        <v>14770.8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1301</v>
      </c>
      <c r="C52">
        <v>1360</v>
      </c>
      <c r="E52">
        <v>1316</v>
      </c>
      <c r="H52">
        <v>242</v>
      </c>
      <c r="I52">
        <v>240</v>
      </c>
      <c r="J52">
        <v>243</v>
      </c>
      <c r="M52">
        <v>246</v>
      </c>
    </row>
    <row r="53" spans="2:25" x14ac:dyDescent="0.25">
      <c r="B53">
        <v>1292</v>
      </c>
      <c r="C53">
        <v>1332</v>
      </c>
      <c r="E53">
        <v>1295</v>
      </c>
      <c r="H53">
        <v>247</v>
      </c>
      <c r="I53">
        <v>240</v>
      </c>
      <c r="J53">
        <v>248</v>
      </c>
      <c r="M53">
        <v>240</v>
      </c>
    </row>
    <row r="54" spans="2:25" x14ac:dyDescent="0.25">
      <c r="B54">
        <v>1359</v>
      </c>
      <c r="C54">
        <v>1334</v>
      </c>
      <c r="E54">
        <v>1407</v>
      </c>
      <c r="H54">
        <v>244</v>
      </c>
      <c r="I54">
        <v>240</v>
      </c>
      <c r="J54">
        <v>244</v>
      </c>
      <c r="M54">
        <v>238</v>
      </c>
    </row>
    <row r="55" spans="2:25" x14ac:dyDescent="0.25">
      <c r="B55">
        <v>1348</v>
      </c>
      <c r="C55">
        <v>1257</v>
      </c>
      <c r="E55">
        <v>1332</v>
      </c>
      <c r="H55">
        <v>251</v>
      </c>
      <c r="I55">
        <v>244</v>
      </c>
      <c r="J55">
        <v>244</v>
      </c>
      <c r="M55">
        <v>251</v>
      </c>
    </row>
    <row r="56" spans="2:25" x14ac:dyDescent="0.25">
      <c r="B56">
        <v>1439</v>
      </c>
      <c r="C56">
        <v>1303</v>
      </c>
      <c r="E56">
        <v>1380</v>
      </c>
      <c r="H56">
        <v>237</v>
      </c>
      <c r="I56">
        <v>242</v>
      </c>
      <c r="J56">
        <v>245</v>
      </c>
      <c r="M56">
        <v>245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5395</v>
      </c>
      <c r="C60">
        <v>2343</v>
      </c>
      <c r="E60">
        <v>3652</v>
      </c>
      <c r="H60">
        <v>1378</v>
      </c>
      <c r="I60">
        <v>689</v>
      </c>
      <c r="J60">
        <v>1434</v>
      </c>
      <c r="M60">
        <v>2225</v>
      </c>
      <c r="N60">
        <v>84048052</v>
      </c>
      <c r="O60">
        <v>73494967</v>
      </c>
      <c r="Q60">
        <v>79509317</v>
      </c>
      <c r="T60">
        <v>72855111</v>
      </c>
      <c r="U60">
        <v>72798467</v>
      </c>
      <c r="V60">
        <v>76301917</v>
      </c>
      <c r="Y60">
        <v>73117617</v>
      </c>
    </row>
    <row r="61" spans="2:25" x14ac:dyDescent="0.25">
      <c r="B61">
        <v>5521</v>
      </c>
      <c r="C61">
        <v>2362</v>
      </c>
      <c r="E61">
        <v>3687</v>
      </c>
      <c r="H61">
        <v>1326</v>
      </c>
      <c r="I61">
        <v>628</v>
      </c>
      <c r="J61">
        <v>1364</v>
      </c>
      <c r="M61">
        <v>2345</v>
      </c>
      <c r="N61">
        <v>84048052</v>
      </c>
      <c r="O61">
        <v>73148367</v>
      </c>
      <c r="Q61">
        <v>79509317</v>
      </c>
      <c r="T61">
        <v>72855111</v>
      </c>
      <c r="U61">
        <v>72800667</v>
      </c>
      <c r="V61">
        <v>76301917</v>
      </c>
      <c r="Y61">
        <v>73117617</v>
      </c>
    </row>
    <row r="62" spans="2:25" x14ac:dyDescent="0.25">
      <c r="B62">
        <v>5372</v>
      </c>
      <c r="C62">
        <v>2340</v>
      </c>
      <c r="E62">
        <v>3745</v>
      </c>
      <c r="H62">
        <v>1361</v>
      </c>
      <c r="I62">
        <v>742</v>
      </c>
      <c r="J62">
        <v>1325</v>
      </c>
      <c r="M62">
        <v>2251</v>
      </c>
      <c r="N62">
        <v>83874752</v>
      </c>
      <c r="O62">
        <v>73494967</v>
      </c>
      <c r="Q62">
        <v>79509317</v>
      </c>
      <c r="T62">
        <v>72855111</v>
      </c>
      <c r="U62">
        <v>72797807</v>
      </c>
      <c r="V62">
        <v>76301917</v>
      </c>
      <c r="Y62">
        <v>73117617</v>
      </c>
    </row>
    <row r="63" spans="2:25" x14ac:dyDescent="0.25">
      <c r="B63">
        <v>5400</v>
      </c>
      <c r="C63">
        <v>2333</v>
      </c>
      <c r="E63">
        <v>3655</v>
      </c>
      <c r="H63">
        <v>1357</v>
      </c>
      <c r="I63">
        <v>660</v>
      </c>
      <c r="J63">
        <v>1296</v>
      </c>
      <c r="M63">
        <v>2363</v>
      </c>
      <c r="N63">
        <v>84048052</v>
      </c>
      <c r="O63">
        <v>73494967</v>
      </c>
      <c r="Q63">
        <v>79509317</v>
      </c>
      <c r="T63">
        <v>72855111</v>
      </c>
      <c r="U63">
        <v>72798687</v>
      </c>
      <c r="V63">
        <v>76301917</v>
      </c>
      <c r="Y63">
        <v>73117617</v>
      </c>
    </row>
    <row r="64" spans="2:25" x14ac:dyDescent="0.25">
      <c r="B64">
        <v>5490</v>
      </c>
      <c r="C64">
        <v>2407</v>
      </c>
      <c r="E64">
        <v>3703</v>
      </c>
      <c r="H64">
        <v>1331</v>
      </c>
      <c r="I64">
        <v>703</v>
      </c>
      <c r="J64">
        <v>1276</v>
      </c>
      <c r="M64">
        <v>2340</v>
      </c>
      <c r="N64">
        <v>84048052</v>
      </c>
      <c r="O64">
        <v>73494967</v>
      </c>
      <c r="Q64">
        <v>79509317</v>
      </c>
      <c r="T64">
        <v>72855111</v>
      </c>
      <c r="U64">
        <v>72800447</v>
      </c>
      <c r="V64">
        <v>76301917</v>
      </c>
      <c r="Y64">
        <v>73117617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9066</v>
      </c>
      <c r="C68">
        <v>4309</v>
      </c>
      <c r="E68">
        <v>9058</v>
      </c>
      <c r="H68">
        <v>3008</v>
      </c>
      <c r="I68">
        <v>1056</v>
      </c>
      <c r="J68">
        <v>2390</v>
      </c>
      <c r="M68">
        <v>4426</v>
      </c>
    </row>
    <row r="69" spans="2:13" x14ac:dyDescent="0.25">
      <c r="B69">
        <v>9095</v>
      </c>
      <c r="C69">
        <v>4282</v>
      </c>
      <c r="E69">
        <v>9322</v>
      </c>
      <c r="H69">
        <v>3095</v>
      </c>
      <c r="I69">
        <v>1031</v>
      </c>
      <c r="J69">
        <v>2510</v>
      </c>
      <c r="M69">
        <v>4435</v>
      </c>
    </row>
    <row r="70" spans="2:13" x14ac:dyDescent="0.25">
      <c r="B70">
        <v>9160</v>
      </c>
      <c r="C70">
        <v>4402</v>
      </c>
      <c r="E70">
        <v>9419</v>
      </c>
      <c r="H70">
        <v>3029</v>
      </c>
      <c r="I70">
        <v>1008</v>
      </c>
      <c r="J70">
        <v>2462</v>
      </c>
      <c r="M70">
        <v>4310</v>
      </c>
    </row>
    <row r="71" spans="2:13" x14ac:dyDescent="0.25">
      <c r="B71">
        <v>9036</v>
      </c>
      <c r="C71">
        <v>4329</v>
      </c>
      <c r="E71">
        <v>9065</v>
      </c>
      <c r="H71">
        <v>3067</v>
      </c>
      <c r="I71">
        <v>1009</v>
      </c>
      <c r="J71">
        <v>2391</v>
      </c>
      <c r="M71">
        <v>4451</v>
      </c>
    </row>
    <row r="72" spans="2:13" x14ac:dyDescent="0.25">
      <c r="B72">
        <v>9088</v>
      </c>
      <c r="C72">
        <v>4336</v>
      </c>
      <c r="E72">
        <v>9138</v>
      </c>
      <c r="H72">
        <v>3059</v>
      </c>
      <c r="I72">
        <v>1108</v>
      </c>
      <c r="J72">
        <v>2465</v>
      </c>
      <c r="M72">
        <v>4459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72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49</v>
      </c>
    </row>
    <row r="37" spans="2:17" x14ac:dyDescent="0.25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AVERAGE(Table82[Newtonsoft])</f>
        <v>13508.2</v>
      </c>
      <c r="D38" s="2">
        <f>AVERAGE(Table82[Revenj])</f>
        <v>13770.8</v>
      </c>
      <c r="E38" s="2" t="e">
        <f>AVERAGE(Table82[fastJSON])</f>
        <v>#DIV/0!</v>
      </c>
      <c r="F38" s="2">
        <f>AVERAGE(Table82[Service Stack])</f>
        <v>13495.6</v>
      </c>
      <c r="G38" s="2" t="e">
        <f>AVERAGE(Table82[Jil])</f>
        <v>#DIV/0!</v>
      </c>
      <c r="H38" s="2" t="e">
        <f>AVERAGE(Table82[NetJSON])</f>
        <v>#DIV/0!</v>
      </c>
      <c r="I38" s="2">
        <f>AVERAGE(Table82[Jackson])</f>
        <v>1367.8</v>
      </c>
      <c r="J38" s="2">
        <f>AVERAGE(Table82[DSL Platform Java])</f>
        <v>1336.4</v>
      </c>
      <c r="K38" s="2">
        <f>AVERAGE(Table82[Genson])</f>
        <v>1337.2</v>
      </c>
      <c r="L38" s="2" t="e">
        <f>AVERAGE(Table82[Boon])</f>
        <v>#DIV/0!</v>
      </c>
      <c r="M38" s="2" t="e">
        <f>AVERAGE(Table82[Alibaba])</f>
        <v>#DIV/0!</v>
      </c>
      <c r="N38" s="2">
        <f>AVERAGE(Table82[Gson])</f>
        <v>1341</v>
      </c>
      <c r="O38" s="2"/>
      <c r="P38" s="2"/>
      <c r="Q38" s="2"/>
    </row>
    <row r="39" spans="2:17" x14ac:dyDescent="0.25">
      <c r="B39" t="s">
        <v>0</v>
      </c>
      <c r="C39" s="2">
        <f>AVERAGE(Table81[Newtonsoft]) - C38</f>
        <v>41363</v>
      </c>
      <c r="D39" s="2">
        <f>AVERAGE(Table81[Revenj]) - D38</f>
        <v>9874</v>
      </c>
      <c r="E39" s="2" t="e">
        <f>AVERAGE(Table81[fastJSON]) - E38</f>
        <v>#DIV/0!</v>
      </c>
      <c r="F39" s="2">
        <f>AVERAGE(Table81[Service Stack]) - F38</f>
        <v>22709.200000000004</v>
      </c>
      <c r="G39" s="2" t="e">
        <f>AVERAGE(Table81[Jil]) - G38</f>
        <v>#DIV/0!</v>
      </c>
      <c r="H39" s="2" t="e">
        <f>AVERAGE(Table81[NetJSON]) - H38</f>
        <v>#DIV/0!</v>
      </c>
      <c r="I39" s="2">
        <f>AVERAGE(Table81[Jackson]) - I38</f>
        <v>7152.2</v>
      </c>
      <c r="J39" s="2">
        <f>AVERAGE(Table81[DSL Platform Java]) - J38</f>
        <v>2240.1999999999998</v>
      </c>
      <c r="K39" s="2">
        <f>AVERAGE(Table81[Genson]) - K38</f>
        <v>8951</v>
      </c>
      <c r="L39" s="2" t="e">
        <f>AVERAGE(Table81[Boon]) - L38</f>
        <v>#DIV/0!</v>
      </c>
      <c r="M39" s="2" t="e">
        <f>AVERAGE(Table81[Alibaba]) - M38</f>
        <v>#DIV/0!</v>
      </c>
      <c r="N39" s="2">
        <f>AVERAGE(Table81[Gson]) - N38</f>
        <v>15445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35875.600000000006</v>
      </c>
      <c r="D40" s="2">
        <f t="shared" si="0"/>
        <v>20098.000000000004</v>
      </c>
      <c r="E40" s="2" t="e">
        <f t="shared" ref="E40" si="1">E41 - E39 - E38</f>
        <v>#DIV/0!</v>
      </c>
      <c r="F40" s="2">
        <f t="shared" si="0"/>
        <v>56533.19999999999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14659.599999999999</v>
      </c>
      <c r="J40" s="2">
        <f t="shared" ref="J40" si="3">J41 - J39 - J38</f>
        <v>2659.0000000000005</v>
      </c>
      <c r="K40" s="2" t="e">
        <f t="shared" ref="K40:L40" si="4">K41 - K39 - K38</f>
        <v>#VALUE!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20350.199999999997</v>
      </c>
      <c r="O40" s="2"/>
      <c r="P40" s="2"/>
      <c r="Q40" s="2"/>
    </row>
    <row r="41" spans="2:17" x14ac:dyDescent="0.25">
      <c r="B41" t="s">
        <v>25</v>
      </c>
      <c r="C41" s="2">
        <f>AVERAGE(Table83[Newtonsoft])</f>
        <v>90746.8</v>
      </c>
      <c r="D41" s="2">
        <f>AVERAGE(Table83[Revenj])</f>
        <v>43742.8</v>
      </c>
      <c r="E41" s="2" t="e">
        <f>AVERAGE(Table83[fastJSON])</f>
        <v>#DIV/0!</v>
      </c>
      <c r="F41" s="2">
        <f>AVERAGE(Table83[Service Stack])</f>
        <v>92738</v>
      </c>
      <c r="G41" s="2" t="e">
        <f>AVERAGE(Table83[Jil])</f>
        <v>#DIV/0!</v>
      </c>
      <c r="H41" s="2" t="e">
        <f>AVERAGE(Table83[NetJSON])</f>
        <v>#DIV/0!</v>
      </c>
      <c r="I41" s="2">
        <f>AVERAGE(Table83[Jackson])</f>
        <v>23179.599999999999</v>
      </c>
      <c r="J41" s="2">
        <f>AVERAGE(Table83[DSL Platform Java])</f>
        <v>6235.6</v>
      </c>
      <c r="K41" s="4" t="s">
        <v>53</v>
      </c>
      <c r="L41" s="2" t="e">
        <f>AVERAGE(Table83[Boon])</f>
        <v>#DIV/0!</v>
      </c>
      <c r="M41" s="2" t="e">
        <f>AVERAGE(Table83[Alibaba])</f>
        <v>#DIV/0!</v>
      </c>
      <c r="N41" s="2">
        <f>AVERAGE(Table83[Gson])</f>
        <v>37136.199999999997</v>
      </c>
      <c r="O41" s="2"/>
      <c r="P41" s="2"/>
      <c r="Q41" s="2"/>
    </row>
    <row r="42" spans="2:17" x14ac:dyDescent="0.25">
      <c r="B42" t="s">
        <v>4</v>
      </c>
      <c r="C42" s="3">
        <f>AVERAGE(Table81[Newtonsoft (size)])</f>
        <v>850871452</v>
      </c>
      <c r="D42" s="3">
        <f>AVERAGE(Table81[Revenj (size)])</f>
        <v>744648167</v>
      </c>
      <c r="E42" s="3" t="e">
        <f>AVERAGE(Table81[fastJSON (size)])</f>
        <v>#DIV/0!</v>
      </c>
      <c r="F42" s="3">
        <f>AVERAGE(Table81[Service Stack (size)])</f>
        <v>805530906</v>
      </c>
      <c r="G42" s="2" t="e">
        <f>AVERAGE(Table81[Jil (size)])</f>
        <v>#DIV/0!</v>
      </c>
      <c r="H42" s="2" t="e">
        <f>AVERAGE(Table81[NetJSON (size)])</f>
        <v>#DIV/0!</v>
      </c>
      <c r="I42" s="2">
        <f>AVERAGE(Table81[Jackson (size)])</f>
        <v>738942711</v>
      </c>
      <c r="J42" s="2">
        <f>AVERAGE(Table81[DSL Platform Java (size)])</f>
        <v>738370647</v>
      </c>
      <c r="K42" s="2">
        <f>AVERAGE(Table81[Genson (size)])</f>
        <v>773410117</v>
      </c>
      <c r="L42" s="2" t="e">
        <f>AVERAGE(Table81[Boon (size)])</f>
        <v>#DIV/0!</v>
      </c>
      <c r="M42" s="2" t="e">
        <f>AVERAGE(Table81[Alibaba (size)])</f>
        <v>#DIV/0!</v>
      </c>
      <c r="N42" s="2">
        <f>AVERAGE(Table81[Gson (size)])</f>
        <v>741567117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DEVSQ(Table81[Newtonsoft])</f>
        <v>2932914.8000000003</v>
      </c>
      <c r="D47" s="2">
        <f>DEVSQ(Table81[Revenj])</f>
        <v>674938.8</v>
      </c>
      <c r="E47" s="2" t="e">
        <f>DEVSQ(Table81[fastJSON])</f>
        <v>#NUM!</v>
      </c>
      <c r="F47" s="2">
        <f>DEVSQ(Table81[Service Stack])</f>
        <v>318482.8</v>
      </c>
      <c r="G47" s="2" t="e">
        <f>DEVSQ(Table81[Jil])</f>
        <v>#NUM!</v>
      </c>
      <c r="H47" s="2" t="e">
        <f>DEVSQ(Table81[NetJSON])</f>
        <v>#NUM!</v>
      </c>
      <c r="I47" s="2">
        <f>DEVSQ(Table81[Jackson])</f>
        <v>260594</v>
      </c>
      <c r="J47" s="2">
        <f>DEVSQ(Table81[DSL Platform Java])</f>
        <v>15245.2</v>
      </c>
      <c r="K47" s="2">
        <f>DEVSQ(Table81[Genson])</f>
        <v>323328.79999999993</v>
      </c>
      <c r="L47" s="2" t="e">
        <f>DEVSQ(Table81[Boon])</f>
        <v>#NUM!</v>
      </c>
      <c r="M47" s="2" t="e">
        <f>DEVSQ(Table81[Alibaba])</f>
        <v>#NUM!</v>
      </c>
      <c r="N47" s="2">
        <f>DEVSQ(Table81[Gson])</f>
        <v>251470</v>
      </c>
      <c r="O47" s="2"/>
      <c r="P47" s="2"/>
      <c r="Q47" s="2"/>
    </row>
    <row r="48" spans="2:17" x14ac:dyDescent="0.25">
      <c r="B48" t="s">
        <v>25</v>
      </c>
      <c r="C48" s="2">
        <f>DEVSQ(Table83[Newtonsoft])</f>
        <v>2368928.7999999998</v>
      </c>
      <c r="D48" s="2">
        <f>DEVSQ(Table83[Revenj])</f>
        <v>1486454.8</v>
      </c>
      <c r="E48" s="2" t="e">
        <f>DEVSQ(Table83[fastJSON])</f>
        <v>#NUM!</v>
      </c>
      <c r="F48" s="2">
        <f>DEVSQ(Table83[Service Stack])</f>
        <v>5980490</v>
      </c>
      <c r="G48" s="2" t="e">
        <f>DEVSQ(Table83[Jil])</f>
        <v>#NUM!</v>
      </c>
      <c r="H48" s="2" t="e">
        <f>DEVSQ(Table83[NetJSON])</f>
        <v>#NUM!</v>
      </c>
      <c r="I48" s="2">
        <f>DEVSQ(Table83[Jackson])</f>
        <v>1107565.2</v>
      </c>
      <c r="J48" s="2">
        <f>DEVSQ(Table83[DSL Platform Java])</f>
        <v>4489.2</v>
      </c>
      <c r="K48" s="2">
        <f>DEVSQ(Table83[Genson])</f>
        <v>321826</v>
      </c>
      <c r="L48" s="2" t="e">
        <f>DEVSQ(Table83[Boon])</f>
        <v>#NUM!</v>
      </c>
      <c r="M48" s="2" t="e">
        <f>DEVSQ(Table83[Alibaba])</f>
        <v>#NUM!</v>
      </c>
      <c r="N48" s="2">
        <f>DEVSQ(Table83[Gson])</f>
        <v>1488914.7999999998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13570</v>
      </c>
      <c r="C52">
        <v>14055</v>
      </c>
      <c r="E52">
        <v>13374</v>
      </c>
      <c r="H52">
        <v>1379</v>
      </c>
      <c r="I52">
        <v>1316</v>
      </c>
      <c r="J52">
        <v>1336</v>
      </c>
      <c r="M52">
        <v>1334</v>
      </c>
    </row>
    <row r="53" spans="2:25" x14ac:dyDescent="0.25">
      <c r="B53">
        <v>13483</v>
      </c>
      <c r="C53">
        <v>13553</v>
      </c>
      <c r="E53">
        <v>13419</v>
      </c>
      <c r="H53">
        <v>1366</v>
      </c>
      <c r="I53">
        <v>1330</v>
      </c>
      <c r="J53">
        <v>1329</v>
      </c>
      <c r="M53">
        <v>1372</v>
      </c>
    </row>
    <row r="54" spans="2:25" x14ac:dyDescent="0.25">
      <c r="B54">
        <v>13922</v>
      </c>
      <c r="C54">
        <v>13329</v>
      </c>
      <c r="E54">
        <v>13039</v>
      </c>
      <c r="H54">
        <v>1340</v>
      </c>
      <c r="I54">
        <v>1330</v>
      </c>
      <c r="J54">
        <v>1329</v>
      </c>
      <c r="M54">
        <v>1316</v>
      </c>
    </row>
    <row r="55" spans="2:25" x14ac:dyDescent="0.25">
      <c r="B55">
        <v>13417</v>
      </c>
      <c r="C55">
        <v>13966</v>
      </c>
      <c r="E55">
        <v>13972</v>
      </c>
      <c r="H55">
        <v>1369</v>
      </c>
      <c r="I55">
        <v>1338</v>
      </c>
      <c r="J55">
        <v>1352</v>
      </c>
      <c r="M55">
        <v>1342</v>
      </c>
    </row>
    <row r="56" spans="2:25" x14ac:dyDescent="0.25">
      <c r="B56">
        <v>13149</v>
      </c>
      <c r="C56">
        <v>13951</v>
      </c>
      <c r="E56">
        <v>13674</v>
      </c>
      <c r="H56">
        <v>1385</v>
      </c>
      <c r="I56">
        <v>1368</v>
      </c>
      <c r="J56">
        <v>1340</v>
      </c>
      <c r="M56">
        <v>1341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54847</v>
      </c>
      <c r="C60">
        <v>23452</v>
      </c>
      <c r="E60">
        <v>36669</v>
      </c>
      <c r="H60">
        <v>8370</v>
      </c>
      <c r="I60">
        <v>3552</v>
      </c>
      <c r="J60">
        <v>10160</v>
      </c>
      <c r="M60">
        <v>16944</v>
      </c>
      <c r="N60">
        <v>850871452</v>
      </c>
      <c r="O60">
        <v>745341367</v>
      </c>
      <c r="Q60">
        <v>805530906</v>
      </c>
      <c r="T60">
        <v>738942711</v>
      </c>
      <c r="U60">
        <v>738382967</v>
      </c>
      <c r="V60">
        <v>773410117</v>
      </c>
      <c r="Y60">
        <v>741567117</v>
      </c>
    </row>
    <row r="61" spans="2:25" x14ac:dyDescent="0.25">
      <c r="B61">
        <v>54247</v>
      </c>
      <c r="C61">
        <v>24277</v>
      </c>
      <c r="E61">
        <v>36234</v>
      </c>
      <c r="H61">
        <v>8893</v>
      </c>
      <c r="I61">
        <v>3481</v>
      </c>
      <c r="J61">
        <v>10672</v>
      </c>
      <c r="M61">
        <v>16737</v>
      </c>
      <c r="N61">
        <v>850871452</v>
      </c>
      <c r="O61">
        <v>745341367</v>
      </c>
      <c r="Q61">
        <v>805530906</v>
      </c>
      <c r="T61">
        <v>738942711</v>
      </c>
      <c r="U61">
        <v>738400567</v>
      </c>
      <c r="V61">
        <v>773410117</v>
      </c>
      <c r="Y61">
        <v>741567117</v>
      </c>
    </row>
    <row r="62" spans="2:25" x14ac:dyDescent="0.25">
      <c r="B62">
        <v>56296</v>
      </c>
      <c r="C62">
        <v>23728</v>
      </c>
      <c r="E62">
        <v>35944</v>
      </c>
      <c r="H62">
        <v>8310</v>
      </c>
      <c r="I62">
        <v>3617</v>
      </c>
      <c r="J62">
        <v>9905</v>
      </c>
      <c r="M62">
        <v>16696</v>
      </c>
      <c r="N62">
        <v>850871452</v>
      </c>
      <c r="O62">
        <v>745341367</v>
      </c>
      <c r="Q62">
        <v>805530906</v>
      </c>
      <c r="T62">
        <v>738942711</v>
      </c>
      <c r="U62">
        <v>738338967</v>
      </c>
      <c r="V62">
        <v>773410117</v>
      </c>
      <c r="Y62">
        <v>741567117</v>
      </c>
    </row>
    <row r="63" spans="2:25" x14ac:dyDescent="0.25">
      <c r="B63">
        <v>54808</v>
      </c>
      <c r="C63">
        <v>23166</v>
      </c>
      <c r="E63">
        <v>36029</v>
      </c>
      <c r="H63">
        <v>8679</v>
      </c>
      <c r="I63">
        <v>3635</v>
      </c>
      <c r="J63">
        <v>10304</v>
      </c>
      <c r="M63">
        <v>17105</v>
      </c>
      <c r="N63">
        <v>850871452</v>
      </c>
      <c r="O63">
        <v>745341367</v>
      </c>
      <c r="Q63">
        <v>805530906</v>
      </c>
      <c r="T63">
        <v>738942711</v>
      </c>
      <c r="U63">
        <v>738352167</v>
      </c>
      <c r="V63">
        <v>773410117</v>
      </c>
      <c r="Y63">
        <v>741567117</v>
      </c>
    </row>
    <row r="64" spans="2:25" x14ac:dyDescent="0.25">
      <c r="B64">
        <v>54158</v>
      </c>
      <c r="C64">
        <v>23601</v>
      </c>
      <c r="E64">
        <v>36148</v>
      </c>
      <c r="H64">
        <v>8348</v>
      </c>
      <c r="I64">
        <v>3598</v>
      </c>
      <c r="J64">
        <v>10400</v>
      </c>
      <c r="M64">
        <v>16448</v>
      </c>
      <c r="N64">
        <v>850871452</v>
      </c>
      <c r="O64">
        <v>741875367</v>
      </c>
      <c r="Q64">
        <v>805530906</v>
      </c>
      <c r="T64">
        <v>738942711</v>
      </c>
      <c r="U64">
        <v>738378567</v>
      </c>
      <c r="V64">
        <v>773410117</v>
      </c>
      <c r="Y64">
        <v>741567117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89583</v>
      </c>
      <c r="C68">
        <v>43932</v>
      </c>
      <c r="E68">
        <v>90680</v>
      </c>
      <c r="H68">
        <v>22586</v>
      </c>
      <c r="I68">
        <v>6268</v>
      </c>
      <c r="J68">
        <v>16623</v>
      </c>
      <c r="M68">
        <v>36663</v>
      </c>
    </row>
    <row r="69" spans="2:13" x14ac:dyDescent="0.25">
      <c r="B69">
        <v>91033</v>
      </c>
      <c r="C69">
        <v>43904</v>
      </c>
      <c r="E69">
        <v>92894</v>
      </c>
      <c r="H69">
        <v>23987</v>
      </c>
      <c r="I69">
        <v>6261</v>
      </c>
      <c r="J69">
        <v>15920</v>
      </c>
      <c r="M69">
        <v>36922</v>
      </c>
    </row>
    <row r="70" spans="2:13" x14ac:dyDescent="0.25">
      <c r="B70">
        <v>91449</v>
      </c>
      <c r="C70">
        <v>42907</v>
      </c>
      <c r="E70">
        <v>93147</v>
      </c>
      <c r="H70">
        <v>23276</v>
      </c>
      <c r="I70">
        <v>6240</v>
      </c>
      <c r="J70">
        <v>16267</v>
      </c>
      <c r="M70">
        <v>38193</v>
      </c>
    </row>
    <row r="71" spans="2:13" x14ac:dyDescent="0.25">
      <c r="B71">
        <v>90374</v>
      </c>
      <c r="C71">
        <v>43434</v>
      </c>
      <c r="E71">
        <v>93016</v>
      </c>
      <c r="H71">
        <v>22873</v>
      </c>
      <c r="I71">
        <v>6184</v>
      </c>
      <c r="J71">
        <v>16183</v>
      </c>
      <c r="M71">
        <v>36821</v>
      </c>
    </row>
    <row r="72" spans="2:13" x14ac:dyDescent="0.25">
      <c r="B72">
        <v>91295</v>
      </c>
      <c r="C72">
        <v>44537</v>
      </c>
      <c r="E72">
        <v>93953</v>
      </c>
      <c r="H72">
        <v>23176</v>
      </c>
      <c r="I72">
        <v>6225</v>
      </c>
      <c r="J72">
        <v>16542</v>
      </c>
      <c r="M72">
        <v>37082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72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50</v>
      </c>
    </row>
    <row r="37" spans="2:17" x14ac:dyDescent="0.25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AVERAGE(Table87[Newtonsoft])</f>
        <v>138971.20000000001</v>
      </c>
      <c r="D38" s="2">
        <f>AVERAGE(Table87[Revenj])</f>
        <v>137892.79999999999</v>
      </c>
      <c r="E38" s="2" t="e">
        <f>AVERAGE(Table87[fastJSON])</f>
        <v>#DIV/0!</v>
      </c>
      <c r="F38" s="2">
        <f>AVERAGE(Table87[Service Stack])</f>
        <v>139824.20000000001</v>
      </c>
      <c r="G38" s="2" t="e">
        <f>AVERAGE(Table87[Jil])</f>
        <v>#DIV/0!</v>
      </c>
      <c r="H38" s="2" t="e">
        <f>AVERAGE(Table87[NetJSON])</f>
        <v>#DIV/0!</v>
      </c>
      <c r="I38" s="2">
        <f>AVERAGE(Table87[Jackson])</f>
        <v>11352.6</v>
      </c>
      <c r="J38" s="2">
        <f>AVERAGE(Table87[DSL Platform Java])</f>
        <v>11020.4</v>
      </c>
      <c r="K38" s="2">
        <f>AVERAGE(Table87[Genson])</f>
        <v>11198.8</v>
      </c>
      <c r="L38" s="2" t="e">
        <f>AVERAGE(Table87[Boon])</f>
        <v>#DIV/0!</v>
      </c>
      <c r="M38" s="2" t="e">
        <f>AVERAGE(Table87[Alibaba])</f>
        <v>#DIV/0!</v>
      </c>
      <c r="N38" s="2">
        <f>AVERAGE(Table87[Gson])</f>
        <v>11249.6</v>
      </c>
      <c r="O38" s="2"/>
      <c r="P38" s="2"/>
      <c r="Q38" s="2"/>
    </row>
    <row r="39" spans="2:17" x14ac:dyDescent="0.25">
      <c r="B39" t="s">
        <v>0</v>
      </c>
      <c r="C39" s="2">
        <f>AVERAGE(Table86[Newtonsoft]) - C38</f>
        <v>413502.8</v>
      </c>
      <c r="D39" s="2">
        <f>AVERAGE(Table86[Revenj]) - D38</f>
        <v>104556</v>
      </c>
      <c r="E39" s="2" t="e">
        <f>AVERAGE(Table86[fastJSON]) - E38</f>
        <v>#DIV/0!</v>
      </c>
      <c r="F39" s="2">
        <f>AVERAGE(Table86[Service Stack]) - F38</f>
        <v>226264.39999999997</v>
      </c>
      <c r="G39" s="2" t="e">
        <f>AVERAGE(Table86[Jil]) - G38</f>
        <v>#DIV/0!</v>
      </c>
      <c r="H39" s="2" t="e">
        <f>AVERAGE(Table86[NetJSON]) - H38</f>
        <v>#DIV/0!</v>
      </c>
      <c r="I39" s="2">
        <f>AVERAGE(Table86[Jackson]) - I38</f>
        <v>67879</v>
      </c>
      <c r="J39" s="2">
        <f>AVERAGE(Table86[DSL Platform Java]) - J38</f>
        <v>21549.800000000003</v>
      </c>
      <c r="K39" s="2">
        <f>AVERAGE(Table86[Genson]) - K38</f>
        <v>85878.599999999991</v>
      </c>
      <c r="L39" s="2" t="e">
        <f>AVERAGE(Table86[Boon]) - L38</f>
        <v>#DIV/0!</v>
      </c>
      <c r="M39" s="2" t="e">
        <f>AVERAGE(Table86[Alibaba]) - M38</f>
        <v>#DIV/0!</v>
      </c>
      <c r="N39" s="2">
        <f>AVERAGE(Table86[Gson]) - N38</f>
        <v>152401.79999999999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357711.19999999995</v>
      </c>
      <c r="D40" s="2">
        <f t="shared" si="0"/>
        <v>197308.40000000002</v>
      </c>
      <c r="E40" s="2" t="e">
        <f t="shared" ref="E40" si="1">E41 - E39 - E38</f>
        <v>#DIV/0!</v>
      </c>
      <c r="F40" s="2">
        <f t="shared" si="0"/>
        <v>553910.40000000014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149305.4</v>
      </c>
      <c r="J40" s="2">
        <f t="shared" ref="J40" si="3">J41 - J39 - J38</f>
        <v>27455.799999999996</v>
      </c>
      <c r="K40" s="2" t="e">
        <f t="shared" ref="K40:L40" si="4">K41 - K39 - K38</f>
        <v>#VALUE!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206444.80000000002</v>
      </c>
      <c r="O40" s="2"/>
      <c r="P40" s="2"/>
      <c r="Q40" s="2"/>
    </row>
    <row r="41" spans="2:17" x14ac:dyDescent="0.25">
      <c r="B41" t="s">
        <v>25</v>
      </c>
      <c r="C41" s="2">
        <f>AVERAGE(Table88[Newtonsoft])</f>
        <v>910185.2</v>
      </c>
      <c r="D41" s="2">
        <f>AVERAGE(Table88[Revenj])</f>
        <v>439757.2</v>
      </c>
      <c r="E41" s="2" t="e">
        <f>AVERAGE(Table88[fastJSON])</f>
        <v>#DIV/0!</v>
      </c>
      <c r="F41" s="2">
        <f>AVERAGE(Table88[Service Stack])</f>
        <v>919999</v>
      </c>
      <c r="G41" s="2" t="e">
        <f>AVERAGE(Table88[Jil])</f>
        <v>#DIV/0!</v>
      </c>
      <c r="H41" s="2" t="e">
        <f>AVERAGE(Table88[NetJSON])</f>
        <v>#DIV/0!</v>
      </c>
      <c r="I41" s="2">
        <f>AVERAGE(Table88[Jackson])</f>
        <v>228537</v>
      </c>
      <c r="J41" s="2">
        <f>AVERAGE(Table88[DSL Platform Java])</f>
        <v>60026</v>
      </c>
      <c r="K41" s="4" t="s">
        <v>53</v>
      </c>
      <c r="L41" s="2" t="e">
        <f>AVERAGE(Table88[Boon])</f>
        <v>#DIV/0!</v>
      </c>
      <c r="M41" s="2" t="e">
        <f>AVERAGE(Table88[Alibaba])</f>
        <v>#DIV/0!</v>
      </c>
      <c r="N41" s="2">
        <f>AVERAGE(Table88[Gson])</f>
        <v>370096.2</v>
      </c>
      <c r="O41" s="2"/>
      <c r="P41" s="2"/>
      <c r="Q41" s="2"/>
    </row>
    <row r="42" spans="2:17" x14ac:dyDescent="0.25">
      <c r="B42" t="s">
        <v>4</v>
      </c>
      <c r="C42" s="3">
        <f>AVERAGE(Table86[Newtonsoft (size)])</f>
        <v>8612705452</v>
      </c>
      <c r="D42" s="3">
        <f>AVERAGE(Table86[Revenj (size)])</f>
        <v>7557405367</v>
      </c>
      <c r="E42" s="3" t="e">
        <f>AVERAGE(Table86[fastJSON (size)])</f>
        <v>#DIV/0!</v>
      </c>
      <c r="F42" s="3">
        <f>AVERAGE(Table86[Service Stack (size)])</f>
        <v>8204328906</v>
      </c>
      <c r="G42" s="2" t="e">
        <f>AVERAGE(Table86[Jil (size)])</f>
        <v>#DIV/0!</v>
      </c>
      <c r="H42" s="2" t="e">
        <f>AVERAGE(Table86[NetJSON (size)])</f>
        <v>#DIV/0!</v>
      </c>
      <c r="I42" s="2">
        <f>AVERAGE(Table86[Jackson (size)])</f>
        <v>7493418711</v>
      </c>
      <c r="J42" s="2">
        <f>AVERAGE(Table86[DSL Platform Java (size)])</f>
        <v>7487632167</v>
      </c>
      <c r="K42" s="2">
        <f>AVERAGE(Table86[Genson (size)])</f>
        <v>7838092117</v>
      </c>
      <c r="L42" s="2" t="e">
        <f>AVERAGE(Table86[Boon (size)])</f>
        <v>#DIV/0!</v>
      </c>
      <c r="M42" s="2" t="e">
        <f>AVERAGE(Table86[Alibaba (size)])</f>
        <v>#DIV/0!</v>
      </c>
      <c r="N42" s="2">
        <f>AVERAGE(Table86[Gson (size)])</f>
        <v>7519662117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DEVSQ(Table86[Newtonsoft])</f>
        <v>240656078</v>
      </c>
      <c r="D47" s="2">
        <f>DEVSQ(Table86[Revenj])</f>
        <v>8404340.8000000007</v>
      </c>
      <c r="E47" s="2" t="e">
        <f>DEVSQ(Table86[fastJSON])</f>
        <v>#NUM!</v>
      </c>
      <c r="F47" s="2">
        <f>DEVSQ(Table86[Service Stack])</f>
        <v>13332005.199999999</v>
      </c>
      <c r="G47" s="2" t="e">
        <f>DEVSQ(Table86[Jil])</f>
        <v>#NUM!</v>
      </c>
      <c r="H47" s="2" t="e">
        <f>DEVSQ(Table86[NetJSON])</f>
        <v>#NUM!</v>
      </c>
      <c r="I47" s="2">
        <f>DEVSQ(Table86[Jackson])</f>
        <v>17365651.200000003</v>
      </c>
      <c r="J47" s="2">
        <f>DEVSQ(Table86[DSL Platform Java])</f>
        <v>6031864.7999999998</v>
      </c>
      <c r="K47" s="2">
        <f>DEVSQ(Table86[Genson])</f>
        <v>17272829.200000003</v>
      </c>
      <c r="L47" s="2" t="e">
        <f>DEVSQ(Table86[Boon])</f>
        <v>#NUM!</v>
      </c>
      <c r="M47" s="2" t="e">
        <f>DEVSQ(Table86[Alibaba])</f>
        <v>#NUM!</v>
      </c>
      <c r="N47" s="2">
        <f>DEVSQ(Table86[Gson])</f>
        <v>32445855.199999999</v>
      </c>
      <c r="O47" s="2"/>
      <c r="P47" s="2"/>
      <c r="Q47" s="2"/>
    </row>
    <row r="48" spans="2:17" x14ac:dyDescent="0.25">
      <c r="B48" t="s">
        <v>25</v>
      </c>
      <c r="C48" s="2">
        <f>DEVSQ(Table88[Newtonsoft])</f>
        <v>266095284.80000001</v>
      </c>
      <c r="D48" s="2">
        <f>DEVSQ(Table88[Revenj])</f>
        <v>25586740.800000001</v>
      </c>
      <c r="E48" s="2" t="e">
        <f>DEVSQ(Table88[fastJSON])</f>
        <v>#NUM!</v>
      </c>
      <c r="F48" s="2">
        <f>DEVSQ(Table88[Service Stack])</f>
        <v>777084916</v>
      </c>
      <c r="G48" s="2" t="e">
        <f>DEVSQ(Table88[Jil])</f>
        <v>#NUM!</v>
      </c>
      <c r="H48" s="2" t="e">
        <f>DEVSQ(Table88[NetJSON])</f>
        <v>#NUM!</v>
      </c>
      <c r="I48" s="2">
        <f>DEVSQ(Table88[Jackson])</f>
        <v>197301690</v>
      </c>
      <c r="J48" s="2">
        <f>DEVSQ(Table88[DSL Platform Java])</f>
        <v>6958154</v>
      </c>
      <c r="K48" s="2">
        <f>DEVSQ(Table88[Genson])</f>
        <v>52378218</v>
      </c>
      <c r="L48" s="2" t="e">
        <f>DEVSQ(Table88[Boon])</f>
        <v>#NUM!</v>
      </c>
      <c r="M48" s="2" t="e">
        <f>DEVSQ(Table88[Alibaba])</f>
        <v>#NUM!</v>
      </c>
      <c r="N48" s="2">
        <f>DEVSQ(Table88[Gson])</f>
        <v>292443002.80000001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139225</v>
      </c>
      <c r="C52">
        <v>139548</v>
      </c>
      <c r="E52">
        <v>141026</v>
      </c>
      <c r="H52">
        <v>11627</v>
      </c>
      <c r="I52">
        <v>10965</v>
      </c>
      <c r="J52">
        <v>11155</v>
      </c>
      <c r="M52">
        <v>10860</v>
      </c>
    </row>
    <row r="53" spans="2:25" x14ac:dyDescent="0.25">
      <c r="B53">
        <v>139487</v>
      </c>
      <c r="C53">
        <v>136021</v>
      </c>
      <c r="E53">
        <v>144236</v>
      </c>
      <c r="H53">
        <v>11161</v>
      </c>
      <c r="I53">
        <v>11005</v>
      </c>
      <c r="J53">
        <v>11200</v>
      </c>
      <c r="M53">
        <v>11259</v>
      </c>
    </row>
    <row r="54" spans="2:25" x14ac:dyDescent="0.25">
      <c r="B54">
        <v>136448</v>
      </c>
      <c r="C54">
        <v>142019</v>
      </c>
      <c r="E54">
        <v>138662</v>
      </c>
      <c r="H54">
        <v>11417</v>
      </c>
      <c r="I54">
        <v>11059</v>
      </c>
      <c r="J54">
        <v>11194</v>
      </c>
      <c r="M54">
        <v>11600</v>
      </c>
    </row>
    <row r="55" spans="2:25" x14ac:dyDescent="0.25">
      <c r="B55">
        <v>140909</v>
      </c>
      <c r="C55">
        <v>136338</v>
      </c>
      <c r="E55">
        <v>138913</v>
      </c>
      <c r="H55">
        <v>11311</v>
      </c>
      <c r="I55">
        <v>11006</v>
      </c>
      <c r="J55">
        <v>11259</v>
      </c>
      <c r="M55">
        <v>11165</v>
      </c>
    </row>
    <row r="56" spans="2:25" x14ac:dyDescent="0.25">
      <c r="B56">
        <v>138787</v>
      </c>
      <c r="C56">
        <v>135538</v>
      </c>
      <c r="E56">
        <v>136284</v>
      </c>
      <c r="H56">
        <v>11247</v>
      </c>
      <c r="I56">
        <v>11067</v>
      </c>
      <c r="J56">
        <v>11186</v>
      </c>
      <c r="M56">
        <v>11364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543020</v>
      </c>
      <c r="C60">
        <v>242768</v>
      </c>
      <c r="E60">
        <v>366792</v>
      </c>
      <c r="H60">
        <v>78711</v>
      </c>
      <c r="I60">
        <v>31958</v>
      </c>
      <c r="J60">
        <v>96631</v>
      </c>
      <c r="M60">
        <v>163210</v>
      </c>
      <c r="N60">
        <v>8612705452</v>
      </c>
      <c r="O60">
        <v>7557405367</v>
      </c>
      <c r="Q60">
        <v>8204328906</v>
      </c>
      <c r="T60">
        <v>7493418711</v>
      </c>
      <c r="U60">
        <v>7487821367</v>
      </c>
      <c r="V60">
        <v>7838092117</v>
      </c>
      <c r="Y60">
        <v>7519662117</v>
      </c>
    </row>
    <row r="61" spans="2:25" x14ac:dyDescent="0.25">
      <c r="B61">
        <v>550573</v>
      </c>
      <c r="C61">
        <v>243972</v>
      </c>
      <c r="E61">
        <v>364834</v>
      </c>
      <c r="H61">
        <v>75789</v>
      </c>
      <c r="I61">
        <v>31820</v>
      </c>
      <c r="J61">
        <v>94047</v>
      </c>
      <c r="M61">
        <v>162132</v>
      </c>
      <c r="N61">
        <v>8612705452</v>
      </c>
      <c r="O61">
        <v>7557405367</v>
      </c>
      <c r="Q61">
        <v>8204328906</v>
      </c>
      <c r="T61">
        <v>7493418711</v>
      </c>
      <c r="U61">
        <v>7487997367</v>
      </c>
      <c r="V61">
        <v>7838092117</v>
      </c>
      <c r="Y61">
        <v>7519662117</v>
      </c>
    </row>
    <row r="62" spans="2:25" x14ac:dyDescent="0.25">
      <c r="B62">
        <v>549366</v>
      </c>
      <c r="C62">
        <v>242568</v>
      </c>
      <c r="E62">
        <v>368873</v>
      </c>
      <c r="H62">
        <v>80608</v>
      </c>
      <c r="I62">
        <v>34691</v>
      </c>
      <c r="J62">
        <v>97064</v>
      </c>
      <c r="M62">
        <v>165318</v>
      </c>
      <c r="N62">
        <v>8612705452</v>
      </c>
      <c r="O62">
        <v>7557405367</v>
      </c>
      <c r="Q62">
        <v>8204328906</v>
      </c>
      <c r="T62">
        <v>7493418711</v>
      </c>
      <c r="U62">
        <v>7487381367</v>
      </c>
      <c r="V62">
        <v>7838092117</v>
      </c>
      <c r="Y62">
        <v>7519662117</v>
      </c>
    </row>
    <row r="63" spans="2:25" x14ac:dyDescent="0.25">
      <c r="B63">
        <v>555618</v>
      </c>
      <c r="C63">
        <v>242890</v>
      </c>
      <c r="E63">
        <v>364259</v>
      </c>
      <c r="H63">
        <v>80563</v>
      </c>
      <c r="I63">
        <v>32584</v>
      </c>
      <c r="J63">
        <v>97874</v>
      </c>
      <c r="M63">
        <v>160116</v>
      </c>
      <c r="N63">
        <v>8612705452</v>
      </c>
      <c r="O63">
        <v>7557405367</v>
      </c>
      <c r="Q63">
        <v>8204328906</v>
      </c>
      <c r="T63">
        <v>7493418711</v>
      </c>
      <c r="U63">
        <v>7487359367</v>
      </c>
      <c r="V63">
        <v>7838092117</v>
      </c>
      <c r="Y63">
        <v>7519662117</v>
      </c>
    </row>
    <row r="64" spans="2:25" x14ac:dyDescent="0.25">
      <c r="B64">
        <v>563793</v>
      </c>
      <c r="C64">
        <v>240046</v>
      </c>
      <c r="E64">
        <v>365685</v>
      </c>
      <c r="H64">
        <v>80487</v>
      </c>
      <c r="I64">
        <v>31798</v>
      </c>
      <c r="J64">
        <v>99771</v>
      </c>
      <c r="M64">
        <v>167481</v>
      </c>
      <c r="N64">
        <v>8612705452</v>
      </c>
      <c r="O64">
        <v>7557405367</v>
      </c>
      <c r="Q64">
        <v>8204328906</v>
      </c>
      <c r="T64">
        <v>7493418711</v>
      </c>
      <c r="U64">
        <v>7487601367</v>
      </c>
      <c r="V64">
        <v>7838092117</v>
      </c>
      <c r="Y64">
        <v>7519662117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896397</v>
      </c>
      <c r="C68">
        <v>440148</v>
      </c>
      <c r="E68">
        <v>935120</v>
      </c>
      <c r="H68">
        <v>232989</v>
      </c>
      <c r="I68">
        <v>61026</v>
      </c>
      <c r="J68">
        <v>159290</v>
      </c>
      <c r="M68">
        <v>370270</v>
      </c>
    </row>
    <row r="69" spans="2:13" x14ac:dyDescent="0.25">
      <c r="B69">
        <v>909363</v>
      </c>
      <c r="C69">
        <v>437946</v>
      </c>
      <c r="E69">
        <v>921942</v>
      </c>
      <c r="H69">
        <v>230176</v>
      </c>
      <c r="I69">
        <v>58215</v>
      </c>
      <c r="J69">
        <v>160763</v>
      </c>
      <c r="M69">
        <v>377945</v>
      </c>
    </row>
    <row r="70" spans="2:13" x14ac:dyDescent="0.25">
      <c r="B70">
        <v>915492</v>
      </c>
      <c r="C70">
        <v>437158</v>
      </c>
      <c r="E70">
        <v>898663</v>
      </c>
      <c r="H70">
        <v>219970</v>
      </c>
      <c r="I70">
        <v>60360</v>
      </c>
      <c r="J70">
        <v>160991</v>
      </c>
      <c r="M70">
        <v>360627</v>
      </c>
    </row>
    <row r="71" spans="2:13" x14ac:dyDescent="0.25">
      <c r="B71">
        <v>916227</v>
      </c>
      <c r="C71">
        <v>443680</v>
      </c>
      <c r="E71">
        <v>928472</v>
      </c>
      <c r="H71">
        <v>236787</v>
      </c>
      <c r="I71">
        <v>59157</v>
      </c>
      <c r="J71">
        <v>165513</v>
      </c>
      <c r="M71">
        <v>379189</v>
      </c>
    </row>
    <row r="72" spans="2:13" x14ac:dyDescent="0.25">
      <c r="B72">
        <v>913447</v>
      </c>
      <c r="C72">
        <v>439854</v>
      </c>
      <c r="E72">
        <v>915798</v>
      </c>
      <c r="H72">
        <v>222763</v>
      </c>
      <c r="I72">
        <v>61372</v>
      </c>
      <c r="J72">
        <v>155448</v>
      </c>
      <c r="M72">
        <v>362450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72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51</v>
      </c>
    </row>
    <row r="37" spans="2:17" x14ac:dyDescent="0.25">
      <c r="B37" t="s">
        <v>2</v>
      </c>
      <c r="C37" s="10" t="s">
        <v>54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AVERAGE(Table92[Newtonsoft])</f>
        <v>966.4</v>
      </c>
      <c r="D38" s="2">
        <f>AVERAGE(Table92[Revenj])</f>
        <v>977.2</v>
      </c>
      <c r="E38" s="2" t="e">
        <f>AVERAGE(Table92[fastJSON])</f>
        <v>#DIV/0!</v>
      </c>
      <c r="F38" s="2" t="e">
        <f>AVERAGE(Table92[Service Stack])</f>
        <v>#DIV/0!</v>
      </c>
      <c r="G38" s="2" t="e">
        <f>AVERAGE(Table92[Jil])</f>
        <v>#DIV/0!</v>
      </c>
      <c r="H38" s="2" t="e">
        <f>AVERAGE(Table92[NetJSON])</f>
        <v>#DIV/0!</v>
      </c>
      <c r="I38" s="2">
        <f>AVERAGE(Table92[Jackson])</f>
        <v>311.60000000000002</v>
      </c>
      <c r="J38" s="2">
        <f>AVERAGE(Table92[DSL Platform Java])</f>
        <v>253.8</v>
      </c>
      <c r="K38" s="2" t="e">
        <f>AVERAGE(Table92[Genson])</f>
        <v>#DIV/0!</v>
      </c>
      <c r="L38" s="2" t="e">
        <f>AVERAGE(Table92[Boon])</f>
        <v>#DIV/0!</v>
      </c>
      <c r="M38" s="2" t="e">
        <f>AVERAGE(Table92[Alibaba])</f>
        <v>#DIV/0!</v>
      </c>
      <c r="N38" s="2" t="e">
        <f>AVERAGE(Table92[Gson])</f>
        <v>#DIV/0!</v>
      </c>
      <c r="O38" s="2"/>
      <c r="P38" s="2"/>
      <c r="Q38" s="2"/>
    </row>
    <row r="39" spans="2:17" x14ac:dyDescent="0.25">
      <c r="B39" t="s">
        <v>0</v>
      </c>
      <c r="C39" s="2">
        <f>AVERAGE(Table91[Newtonsoft]) - C38</f>
        <v>2097.1999999999998</v>
      </c>
      <c r="D39" s="2">
        <f>AVERAGE(Table91[Revenj]) - D38</f>
        <v>716.8</v>
      </c>
      <c r="E39" s="2" t="e">
        <f>AVERAGE(Table91[fastJSON]) - E38</f>
        <v>#DIV/0!</v>
      </c>
      <c r="F39" s="2" t="e">
        <f>AVERAGE(Table91[Service Stack]) - F38</f>
        <v>#DIV/0!</v>
      </c>
      <c r="G39" s="2" t="e">
        <f>AVERAGE(Table91[Jil]) - G38</f>
        <v>#DIV/0!</v>
      </c>
      <c r="H39" s="2" t="e">
        <f>AVERAGE(Table91[NetJSON]) - H38</f>
        <v>#DIV/0!</v>
      </c>
      <c r="I39" s="2">
        <f>AVERAGE(Table91[Jackson]) - I38</f>
        <v>837.80000000000007</v>
      </c>
      <c r="J39" s="2">
        <f>AVERAGE(Table91[DSL Platform Java]) - J38</f>
        <v>223.8</v>
      </c>
      <c r="K39" s="2" t="e">
        <f>AVERAGE(Table91[Genson]) - K38</f>
        <v>#DIV/0!</v>
      </c>
      <c r="L39" s="2" t="e">
        <f>AVERAGE(Table91[Boon]) - L38</f>
        <v>#DIV/0!</v>
      </c>
      <c r="M39" s="2" t="e">
        <f>AVERAGE(Table91[Alibaba]) - M38</f>
        <v>#DIV/0!</v>
      </c>
      <c r="N39" s="2" t="e">
        <f>AVERAGE(Table91[Gson]) - N38</f>
        <v>#DIV/0!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2896.6</v>
      </c>
      <c r="D40" s="2">
        <f t="shared" si="0"/>
        <v>1884.4000000000003</v>
      </c>
      <c r="E40" s="2" t="e">
        <f t="shared" ref="E40" si="1">E41 - E39 - E38</f>
        <v>#DIV/0!</v>
      </c>
      <c r="F40" s="2" t="e">
        <f t="shared" si="0"/>
        <v>#DIV/0!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1587.1999999999998</v>
      </c>
      <c r="J40" s="2">
        <f t="shared" ref="J40" si="3">J41 - J39 - J38</f>
        <v>222.79999999999995</v>
      </c>
      <c r="K40" s="2" t="e">
        <f t="shared" ref="K40:L40" si="4">K41 - K39 - K38</f>
        <v>#DIV/0!</v>
      </c>
      <c r="L40" s="2" t="e">
        <f t="shared" si="4"/>
        <v>#DIV/0!</v>
      </c>
      <c r="M40" s="2" t="e">
        <f t="shared" ref="M40" si="5">M41 - M39 - M38</f>
        <v>#DIV/0!</v>
      </c>
      <c r="N40" s="2" t="e">
        <f t="shared" ref="N40" si="6">N41 - N39 - N38</f>
        <v>#DIV/0!</v>
      </c>
      <c r="O40" s="2"/>
      <c r="P40" s="2"/>
      <c r="Q40" s="2"/>
    </row>
    <row r="41" spans="2:17" x14ac:dyDescent="0.25">
      <c r="B41" t="s">
        <v>25</v>
      </c>
      <c r="C41" s="2">
        <f>AVERAGE(Table93[Newtonsoft])</f>
        <v>5960.2</v>
      </c>
      <c r="D41" s="2">
        <f>AVERAGE(Table93[Revenj])</f>
        <v>3578.4</v>
      </c>
      <c r="E41" s="2" t="e">
        <f>AVERAGE(Table93[fastJSON])</f>
        <v>#DIV/0!</v>
      </c>
      <c r="F41" s="2" t="e">
        <f>AVERAGE(Table93[Service Stack])</f>
        <v>#DIV/0!</v>
      </c>
      <c r="G41" s="2" t="e">
        <f>AVERAGE(Table93[Jil])</f>
        <v>#DIV/0!</v>
      </c>
      <c r="H41" s="2" t="e">
        <f>AVERAGE(Table93[NetJSON])</f>
        <v>#DIV/0!</v>
      </c>
      <c r="I41" s="2">
        <f>AVERAGE(Table93[Jackson])</f>
        <v>2736.6</v>
      </c>
      <c r="J41" s="2">
        <f>AVERAGE(Table93[DSL Platform Java])</f>
        <v>700.4</v>
      </c>
      <c r="K41" s="2" t="e">
        <f>AVERAGE(Table93[Genson])</f>
        <v>#DIV/0!</v>
      </c>
      <c r="L41" s="2" t="e">
        <f>AVERAGE(Table93[Boon])</f>
        <v>#DIV/0!</v>
      </c>
      <c r="M41" s="2" t="e">
        <f>AVERAGE(Table93[Alibaba])</f>
        <v>#DIV/0!</v>
      </c>
      <c r="N41" s="2" t="e">
        <f>AVERAGE(Table93[Gson])</f>
        <v>#DIV/0!</v>
      </c>
      <c r="O41" s="2"/>
      <c r="P41" s="2"/>
      <c r="Q41" s="2"/>
    </row>
    <row r="42" spans="2:17" x14ac:dyDescent="0.25">
      <c r="B42" t="s">
        <v>4</v>
      </c>
      <c r="C42" s="3">
        <f>AVERAGE(Table91[Newtonsoft (size)])</f>
        <v>53427744</v>
      </c>
      <c r="D42" s="3">
        <f>AVERAGE(Table91[Revenj (size)])</f>
        <v>49354268</v>
      </c>
      <c r="E42" s="3" t="e">
        <f>AVERAGE(Table91[fastJSON (size)])</f>
        <v>#DIV/0!</v>
      </c>
      <c r="F42" s="3" t="e">
        <f>AVERAGE(Table91[Service Stack (size)])</f>
        <v>#DIV/0!</v>
      </c>
      <c r="G42" s="2" t="e">
        <f>AVERAGE(Table91[Jil (size)])</f>
        <v>#DIV/0!</v>
      </c>
      <c r="H42" s="2" t="e">
        <f>AVERAGE(Table91[NetJSON (size)])</f>
        <v>#DIV/0!</v>
      </c>
      <c r="I42" s="2">
        <f>AVERAGE(Table91[Jackson (size)])</f>
        <v>48172180</v>
      </c>
      <c r="J42" s="2">
        <f>AVERAGE(Table91[DSL Platform Java (size)])</f>
        <v>48172180</v>
      </c>
      <c r="K42" s="2" t="e">
        <f>AVERAGE(Table91[Genson (size)])</f>
        <v>#DIV/0!</v>
      </c>
      <c r="L42" s="2" t="e">
        <f>AVERAGE(Table91[Boon (size)])</f>
        <v>#DIV/0!</v>
      </c>
      <c r="M42" s="2" t="e">
        <f>AVERAGE(Table91[Alibaba (size)])</f>
        <v>#DIV/0!</v>
      </c>
      <c r="N42" s="2" t="e">
        <f>AVERAGE(Table91[Gson (size)])</f>
        <v>#DIV/0!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DEVSQ(Table91[Newtonsoft])</f>
        <v>651.20000000000005</v>
      </c>
      <c r="D47" s="2">
        <f>DEVSQ(Table91[Revenj])</f>
        <v>22342</v>
      </c>
      <c r="E47" s="2" t="e">
        <f>DEVSQ(Table91[fastJSON])</f>
        <v>#NUM!</v>
      </c>
      <c r="F47" s="2" t="e">
        <f>DEVSQ(Table91[Service Stack])</f>
        <v>#NUM!</v>
      </c>
      <c r="G47" s="2" t="e">
        <f>DEVSQ(Table91[Jil])</f>
        <v>#NUM!</v>
      </c>
      <c r="H47" s="2" t="e">
        <f>DEVSQ(Table91[NetJSON])</f>
        <v>#NUM!</v>
      </c>
      <c r="I47" s="2">
        <f>DEVSQ(Table91[Jackson])</f>
        <v>261.20000000000005</v>
      </c>
      <c r="J47" s="2">
        <f>DEVSQ(Table91[DSL Platform Java])</f>
        <v>65.2</v>
      </c>
      <c r="K47" s="2" t="e">
        <f>DEVSQ(Table91[Genson])</f>
        <v>#NUM!</v>
      </c>
      <c r="L47" s="2" t="e">
        <f>DEVSQ(Table91[Boon])</f>
        <v>#NUM!</v>
      </c>
      <c r="M47" s="2" t="e">
        <f>DEVSQ(Table91[Alibaba])</f>
        <v>#NUM!</v>
      </c>
      <c r="N47" s="2" t="e">
        <f>DEVSQ(Table91[Gson])</f>
        <v>#NUM!</v>
      </c>
      <c r="O47" s="2"/>
      <c r="P47" s="2"/>
      <c r="Q47" s="2"/>
    </row>
    <row r="48" spans="2:17" x14ac:dyDescent="0.25">
      <c r="B48" t="s">
        <v>25</v>
      </c>
      <c r="C48" s="2">
        <f>DEVSQ(Table93[Newtonsoft])</f>
        <v>3104.8</v>
      </c>
      <c r="D48" s="2">
        <f>DEVSQ(Table93[Revenj])</f>
        <v>7041.1999999999989</v>
      </c>
      <c r="E48" s="2" t="e">
        <f>DEVSQ(Table93[fastJSON])</f>
        <v>#NUM!</v>
      </c>
      <c r="F48" s="2" t="e">
        <f>DEVSQ(Table93[Service Stack])</f>
        <v>#NUM!</v>
      </c>
      <c r="G48" s="2" t="e">
        <f>DEVSQ(Table93[Jil])</f>
        <v>#NUM!</v>
      </c>
      <c r="H48" s="2" t="e">
        <f>DEVSQ(Table93[NetJSON])</f>
        <v>#NUM!</v>
      </c>
      <c r="I48" s="2">
        <f>DEVSQ(Table93[Jackson])</f>
        <v>16215.199999999997</v>
      </c>
      <c r="J48" s="2">
        <f>DEVSQ(Table93[DSL Platform Java])</f>
        <v>577.19999999999993</v>
      </c>
      <c r="K48" s="2" t="e">
        <f>DEVSQ(Table93[Genson])</f>
        <v>#NUM!</v>
      </c>
      <c r="L48" s="2" t="e">
        <f>DEVSQ(Table93[Boon])</f>
        <v>#NUM!</v>
      </c>
      <c r="M48" s="2" t="e">
        <f>DEVSQ(Table93[Alibaba])</f>
        <v>#NUM!</v>
      </c>
      <c r="N48" s="2" t="e">
        <f>DEVSQ(Table93[Gson])</f>
        <v>#NUM!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 s="5">
        <v>944</v>
      </c>
      <c r="C52">
        <v>970</v>
      </c>
      <c r="H52">
        <v>307</v>
      </c>
      <c r="I52">
        <v>265</v>
      </c>
    </row>
    <row r="53" spans="2:25" x14ac:dyDescent="0.25">
      <c r="B53" s="5">
        <v>957</v>
      </c>
      <c r="C53">
        <v>970</v>
      </c>
      <c r="H53">
        <v>308</v>
      </c>
      <c r="I53">
        <v>244</v>
      </c>
    </row>
    <row r="54" spans="2:25" x14ac:dyDescent="0.25">
      <c r="B54" s="5">
        <v>999</v>
      </c>
      <c r="C54">
        <v>986</v>
      </c>
      <c r="H54">
        <v>319</v>
      </c>
      <c r="I54">
        <v>256</v>
      </c>
    </row>
    <row r="55" spans="2:25" x14ac:dyDescent="0.25">
      <c r="B55" s="5">
        <v>979</v>
      </c>
      <c r="C55">
        <v>996</v>
      </c>
      <c r="H55">
        <v>320</v>
      </c>
      <c r="I55">
        <v>252</v>
      </c>
    </row>
    <row r="56" spans="2:25" x14ac:dyDescent="0.25">
      <c r="B56" s="5">
        <v>953</v>
      </c>
      <c r="C56">
        <v>964</v>
      </c>
      <c r="H56">
        <v>304</v>
      </c>
      <c r="I56">
        <v>252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 s="7">
        <v>3086</v>
      </c>
      <c r="C60" s="6">
        <v>1826</v>
      </c>
      <c r="H60">
        <v>1163</v>
      </c>
      <c r="I60">
        <v>473</v>
      </c>
      <c r="N60" s="9">
        <v>53427744</v>
      </c>
      <c r="O60">
        <v>49485608</v>
      </c>
      <c r="T60">
        <v>48172180</v>
      </c>
      <c r="U60">
        <v>48172180</v>
      </c>
    </row>
    <row r="61" spans="2:25" x14ac:dyDescent="0.25">
      <c r="B61" s="7">
        <v>3054</v>
      </c>
      <c r="C61">
        <v>1677</v>
      </c>
      <c r="H61">
        <v>1149</v>
      </c>
      <c r="I61">
        <v>481</v>
      </c>
      <c r="N61" s="9">
        <v>53427744</v>
      </c>
      <c r="O61">
        <v>48828908</v>
      </c>
      <c r="T61">
        <v>48172180</v>
      </c>
      <c r="U61">
        <v>48172180</v>
      </c>
    </row>
    <row r="62" spans="2:25" x14ac:dyDescent="0.25">
      <c r="B62" s="7">
        <v>3060</v>
      </c>
      <c r="C62">
        <v>1656</v>
      </c>
      <c r="H62">
        <v>1148</v>
      </c>
      <c r="I62">
        <v>474</v>
      </c>
      <c r="N62" s="9">
        <v>53427744</v>
      </c>
      <c r="O62">
        <v>49485608</v>
      </c>
      <c r="T62">
        <v>48172180</v>
      </c>
      <c r="U62">
        <v>48172180</v>
      </c>
    </row>
    <row r="63" spans="2:25" x14ac:dyDescent="0.25">
      <c r="B63" s="7">
        <v>3058</v>
      </c>
      <c r="C63">
        <v>1645</v>
      </c>
      <c r="H63">
        <v>1142</v>
      </c>
      <c r="I63">
        <v>478</v>
      </c>
      <c r="N63" s="9">
        <v>53427744</v>
      </c>
      <c r="O63">
        <v>49485608</v>
      </c>
      <c r="T63">
        <v>48172180</v>
      </c>
      <c r="U63">
        <v>48172180</v>
      </c>
    </row>
    <row r="64" spans="2:25" x14ac:dyDescent="0.25">
      <c r="B64" s="7">
        <v>3060</v>
      </c>
      <c r="C64">
        <v>1666</v>
      </c>
      <c r="H64">
        <v>1145</v>
      </c>
      <c r="I64">
        <v>482</v>
      </c>
      <c r="N64" s="9">
        <v>53427744</v>
      </c>
      <c r="O64">
        <v>49485608</v>
      </c>
      <c r="T64">
        <v>48172180</v>
      </c>
      <c r="U64">
        <v>48172180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 s="8">
        <v>5965</v>
      </c>
      <c r="C68">
        <v>3566</v>
      </c>
      <c r="H68">
        <v>2820</v>
      </c>
      <c r="I68">
        <v>712</v>
      </c>
    </row>
    <row r="69" spans="2:13" x14ac:dyDescent="0.25">
      <c r="B69" s="8">
        <v>5940</v>
      </c>
      <c r="C69">
        <v>3511</v>
      </c>
      <c r="H69">
        <v>2682</v>
      </c>
      <c r="I69">
        <v>713</v>
      </c>
    </row>
    <row r="70" spans="2:13" x14ac:dyDescent="0.25">
      <c r="B70" s="8">
        <v>5930</v>
      </c>
      <c r="C70">
        <v>3604</v>
      </c>
      <c r="H70">
        <v>2682</v>
      </c>
      <c r="I70">
        <v>689</v>
      </c>
    </row>
    <row r="71" spans="2:13" x14ac:dyDescent="0.25">
      <c r="B71" s="8">
        <v>5964</v>
      </c>
      <c r="C71">
        <v>3616</v>
      </c>
      <c r="H71">
        <v>2711</v>
      </c>
      <c r="I71">
        <v>700</v>
      </c>
    </row>
    <row r="72" spans="2:13" x14ac:dyDescent="0.25">
      <c r="B72" s="8">
        <v>6002</v>
      </c>
      <c r="C72">
        <v>3595</v>
      </c>
      <c r="H72">
        <v>2788</v>
      </c>
      <c r="I72">
        <v>688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72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52</v>
      </c>
    </row>
    <row r="37" spans="2:17" x14ac:dyDescent="0.25">
      <c r="B37" t="s">
        <v>2</v>
      </c>
      <c r="C37" s="10" t="s">
        <v>54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AVERAGE(Table97[Newtonsoft])</f>
        <v>76969.399999999994</v>
      </c>
      <c r="D38" s="2">
        <f>AVERAGE(Table97[Revenj])</f>
        <v>75799.600000000006</v>
      </c>
      <c r="E38" s="2" t="e">
        <f>AVERAGE(Table97[fastJSON])</f>
        <v>#DIV/0!</v>
      </c>
      <c r="F38" s="2" t="e">
        <f>AVERAGE(Table97[Service Stack])</f>
        <v>#DIV/0!</v>
      </c>
      <c r="G38" s="2" t="e">
        <f>AVERAGE(Table97[Jil])</f>
        <v>#DIV/0!</v>
      </c>
      <c r="H38" s="2" t="e">
        <f>AVERAGE(Table97[NetJSON])</f>
        <v>#DIV/0!</v>
      </c>
      <c r="I38" s="2">
        <f>AVERAGE(Table97[Jackson])</f>
        <v>8636.4</v>
      </c>
      <c r="J38" s="2">
        <f>AVERAGE(Table97[DSL Platform Java])</f>
        <v>8558.6</v>
      </c>
      <c r="K38" s="2" t="e">
        <f>AVERAGE(Table97[Genson])</f>
        <v>#DIV/0!</v>
      </c>
      <c r="L38" s="2" t="e">
        <f>AVERAGE(Table97[Boon])</f>
        <v>#DIV/0!</v>
      </c>
      <c r="M38" s="2" t="e">
        <f>AVERAGE(Table97[Alibaba])</f>
        <v>#DIV/0!</v>
      </c>
      <c r="N38" s="2" t="e">
        <f>AVERAGE(Table97[Gson])</f>
        <v>#DIV/0!</v>
      </c>
      <c r="O38" s="2"/>
      <c r="P38" s="2"/>
      <c r="Q38" s="2"/>
    </row>
    <row r="39" spans="2:17" x14ac:dyDescent="0.25">
      <c r="B39" t="s">
        <v>0</v>
      </c>
      <c r="C39" s="2">
        <f>AVERAGE(Table96[Newtonsoft]) - C38</f>
        <v>230327.80000000002</v>
      </c>
      <c r="D39" s="2">
        <f>AVERAGE(Table96[Revenj]) - D38</f>
        <v>81604.600000000006</v>
      </c>
      <c r="E39" s="2" t="e">
        <f>AVERAGE(Table96[fastJSON]) - E38</f>
        <v>#DIV/0!</v>
      </c>
      <c r="F39" s="2" t="e">
        <f>AVERAGE(Table96[Service Stack]) - F38</f>
        <v>#DIV/0!</v>
      </c>
      <c r="G39" s="2" t="e">
        <f>AVERAGE(Table96[Jil]) - G38</f>
        <v>#DIV/0!</v>
      </c>
      <c r="H39" s="2" t="e">
        <f>AVERAGE(Table96[NetJSON]) - H38</f>
        <v>#DIV/0!</v>
      </c>
      <c r="I39" s="2">
        <f>AVERAGE(Table96[Jackson]) - I38</f>
        <v>57063.6</v>
      </c>
      <c r="J39" s="2">
        <f>AVERAGE(Table96[DSL Platform Java]) - J38</f>
        <v>21559.800000000003</v>
      </c>
      <c r="K39" s="2" t="e">
        <f>AVERAGE(Table96[Genson]) - K38</f>
        <v>#DIV/0!</v>
      </c>
      <c r="L39" s="2" t="e">
        <f>AVERAGE(Table96[Boon]) - L38</f>
        <v>#DIV/0!</v>
      </c>
      <c r="M39" s="2" t="e">
        <f>AVERAGE(Table96[Alibaba]) - M38</f>
        <v>#DIV/0!</v>
      </c>
      <c r="N39" s="2" t="e">
        <f>AVERAGE(Table96[Gson]) - N38</f>
        <v>#DIV/0!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273175.99999999988</v>
      </c>
      <c r="D40" s="2">
        <f t="shared" si="0"/>
        <v>194030.80000000002</v>
      </c>
      <c r="E40" s="2" t="e">
        <f t="shared" ref="E40" si="1">E41 - E39 - E38</f>
        <v>#DIV/0!</v>
      </c>
      <c r="F40" s="2" t="e">
        <f t="shared" si="0"/>
        <v>#DIV/0!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102710.6</v>
      </c>
      <c r="J40" s="2">
        <f t="shared" ref="J40" si="3">J41 - J39 - J38</f>
        <v>21582.799999999996</v>
      </c>
      <c r="K40" s="2" t="e">
        <f t="shared" ref="K40:L40" si="4">K41 - K39 - K38</f>
        <v>#DIV/0!</v>
      </c>
      <c r="L40" s="2" t="e">
        <f t="shared" si="4"/>
        <v>#DIV/0!</v>
      </c>
      <c r="M40" s="2" t="e">
        <f t="shared" ref="M40" si="5">M41 - M39 - M38</f>
        <v>#DIV/0!</v>
      </c>
      <c r="N40" s="2" t="e">
        <f t="shared" ref="N40" si="6">N41 - N39 - N38</f>
        <v>#DIV/0!</v>
      </c>
      <c r="O40" s="2"/>
      <c r="P40" s="2"/>
      <c r="Q40" s="2"/>
    </row>
    <row r="41" spans="2:17" x14ac:dyDescent="0.25">
      <c r="B41" t="s">
        <v>25</v>
      </c>
      <c r="C41" s="2">
        <f>AVERAGE(Table98[Newtonsoft])</f>
        <v>580473.19999999995</v>
      </c>
      <c r="D41" s="2">
        <f>AVERAGE(Table98[Revenj])</f>
        <v>351435</v>
      </c>
      <c r="E41" s="2" t="e">
        <f>AVERAGE(Table98[fastJSON])</f>
        <v>#DIV/0!</v>
      </c>
      <c r="F41" s="2" t="e">
        <f>AVERAGE(Table98[Service Stack])</f>
        <v>#DIV/0!</v>
      </c>
      <c r="G41" s="2" t="e">
        <f>AVERAGE(Table98[Jil])</f>
        <v>#DIV/0!</v>
      </c>
      <c r="H41" s="2" t="e">
        <f>AVERAGE(Table98[NetJSON])</f>
        <v>#DIV/0!</v>
      </c>
      <c r="I41" s="2">
        <f>AVERAGE(Table98[Jackson])</f>
        <v>168410.6</v>
      </c>
      <c r="J41" s="2">
        <f>AVERAGE(Table98[DSL Platform Java])</f>
        <v>51701.2</v>
      </c>
      <c r="K41" s="2" t="e">
        <f>AVERAGE(Table98[Genson])</f>
        <v>#DIV/0!</v>
      </c>
      <c r="L41" s="2" t="e">
        <f>AVERAGE(Table98[Boon])</f>
        <v>#DIV/0!</v>
      </c>
      <c r="M41" s="2" t="e">
        <f>AVERAGE(Table98[Alibaba])</f>
        <v>#DIV/0!</v>
      </c>
      <c r="N41" s="2" t="e">
        <f>AVERAGE(Table98[Gson])</f>
        <v>#DIV/0!</v>
      </c>
      <c r="O41" s="2"/>
      <c r="P41" s="2"/>
      <c r="Q41" s="2"/>
    </row>
    <row r="42" spans="2:17" x14ac:dyDescent="0.25">
      <c r="B42" t="s">
        <v>4</v>
      </c>
      <c r="C42" s="3">
        <f>AVERAGE(Table96[Newtonsoft (size)])</f>
        <v>9797315916</v>
      </c>
      <c r="D42" s="3">
        <f>AVERAGE(Table96[Revenj (size)])</f>
        <v>9490545095</v>
      </c>
      <c r="E42" s="3" t="e">
        <f>AVERAGE(Table96[fastJSON (size)])</f>
        <v>#DIV/0!</v>
      </c>
      <c r="F42" s="3" t="e">
        <f>AVERAGE(Table96[Service Stack (size)])</f>
        <v>#DIV/0!</v>
      </c>
      <c r="G42" s="2" t="e">
        <f>AVERAGE(Table96[Jil (size)])</f>
        <v>#DIV/0!</v>
      </c>
      <c r="H42" s="2" t="e">
        <f>AVERAGE(Table96[NetJSON (size)])</f>
        <v>#DIV/0!</v>
      </c>
      <c r="I42" s="2">
        <f>AVERAGE(Table96[Jackson (size)])</f>
        <v>9388310815</v>
      </c>
      <c r="J42" s="2">
        <f>AVERAGE(Table96[DSL Platform Java (size)])</f>
        <v>9388310815</v>
      </c>
      <c r="K42" s="2" t="e">
        <f>AVERAGE(Table96[Genson (size)])</f>
        <v>#DIV/0!</v>
      </c>
      <c r="L42" s="2" t="e">
        <f>AVERAGE(Table96[Boon (size)])</f>
        <v>#DIV/0!</v>
      </c>
      <c r="M42" s="2" t="e">
        <f>AVERAGE(Table96[Alibaba (size)])</f>
        <v>#DIV/0!</v>
      </c>
      <c r="N42" s="2" t="e">
        <f>AVERAGE(Table96[Gson (size)])</f>
        <v>#DIV/0!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DEVSQ(Table96[Newtonsoft])</f>
        <v>91240730.800000012</v>
      </c>
      <c r="D47" s="2">
        <f>DEVSQ(Table96[Revenj])</f>
        <v>633350.80000000005</v>
      </c>
      <c r="E47" s="2" t="e">
        <f>DEVSQ(Table96[fastJSON])</f>
        <v>#NUM!</v>
      </c>
      <c r="F47" s="2" t="e">
        <f>DEVSQ(Table96[Service Stack])</f>
        <v>#NUM!</v>
      </c>
      <c r="G47" s="2" t="e">
        <f>DEVSQ(Table96[Jil])</f>
        <v>#NUM!</v>
      </c>
      <c r="H47" s="2" t="e">
        <f>DEVSQ(Table96[NetJSON])</f>
        <v>#NUM!</v>
      </c>
      <c r="I47" s="2">
        <f>DEVSQ(Table96[Jackson])</f>
        <v>2223322</v>
      </c>
      <c r="J47" s="2">
        <f>DEVSQ(Table96[DSL Platform Java])</f>
        <v>539493.19999999995</v>
      </c>
      <c r="K47" s="2" t="e">
        <f>DEVSQ(Table96[Genson])</f>
        <v>#NUM!</v>
      </c>
      <c r="L47" s="2" t="e">
        <f>DEVSQ(Table96[Boon])</f>
        <v>#NUM!</v>
      </c>
      <c r="M47" s="2" t="e">
        <f>DEVSQ(Table96[Alibaba])</f>
        <v>#NUM!</v>
      </c>
      <c r="N47" s="2" t="e">
        <f>DEVSQ(Table96[Gson])</f>
        <v>#NUM!</v>
      </c>
      <c r="O47" s="2"/>
      <c r="P47" s="2"/>
      <c r="Q47" s="2"/>
    </row>
    <row r="48" spans="2:17" x14ac:dyDescent="0.25">
      <c r="B48" t="s">
        <v>25</v>
      </c>
      <c r="C48" s="2">
        <f>DEVSQ(Table98[Newtonsoft])</f>
        <v>134702732.80000001</v>
      </c>
      <c r="D48" s="2">
        <f>DEVSQ(Table98[Revenj])</f>
        <v>17174180</v>
      </c>
      <c r="E48" s="2" t="e">
        <f>DEVSQ(Table98[fastJSON])</f>
        <v>#NUM!</v>
      </c>
      <c r="F48" s="2" t="e">
        <f>DEVSQ(Table98[Service Stack])</f>
        <v>#NUM!</v>
      </c>
      <c r="G48" s="2" t="e">
        <f>DEVSQ(Table98[Jil])</f>
        <v>#NUM!</v>
      </c>
      <c r="H48" s="2" t="e">
        <f>DEVSQ(Table98[NetJSON])</f>
        <v>#NUM!</v>
      </c>
      <c r="I48" s="2">
        <f>DEVSQ(Table98[Jackson])</f>
        <v>45754205.200000003</v>
      </c>
      <c r="J48" s="2">
        <f>DEVSQ(Table98[DSL Platform Java])</f>
        <v>410738.79999999993</v>
      </c>
      <c r="K48" s="2" t="e">
        <f>DEVSQ(Table98[Genson])</f>
        <v>#NUM!</v>
      </c>
      <c r="L48" s="2" t="e">
        <f>DEVSQ(Table98[Boon])</f>
        <v>#NUM!</v>
      </c>
      <c r="M48" s="2" t="e">
        <f>DEVSQ(Table98[Alibaba])</f>
        <v>#NUM!</v>
      </c>
      <c r="N48" s="2" t="e">
        <f>DEVSQ(Table98[Gson])</f>
        <v>#NUM!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 s="10">
        <v>77799</v>
      </c>
      <c r="C52">
        <v>77799</v>
      </c>
      <c r="H52">
        <v>8616</v>
      </c>
      <c r="I52">
        <v>8585</v>
      </c>
    </row>
    <row r="53" spans="2:25" x14ac:dyDescent="0.25">
      <c r="B53" s="10">
        <v>76236</v>
      </c>
      <c r="C53">
        <v>74689</v>
      </c>
      <c r="H53">
        <v>8644</v>
      </c>
      <c r="I53">
        <v>8551</v>
      </c>
    </row>
    <row r="54" spans="2:25" x14ac:dyDescent="0.25">
      <c r="B54" s="10">
        <v>76438</v>
      </c>
      <c r="C54">
        <v>74951</v>
      </c>
      <c r="H54">
        <v>8644</v>
      </c>
      <c r="I54">
        <v>8528</v>
      </c>
    </row>
    <row r="55" spans="2:25" x14ac:dyDescent="0.25">
      <c r="B55" s="10">
        <v>76484</v>
      </c>
      <c r="C55">
        <v>75133</v>
      </c>
      <c r="H55">
        <v>8687</v>
      </c>
      <c r="I55">
        <v>8581</v>
      </c>
    </row>
    <row r="56" spans="2:25" x14ac:dyDescent="0.25">
      <c r="B56" s="10">
        <v>77890</v>
      </c>
      <c r="C56">
        <v>76426</v>
      </c>
      <c r="H56">
        <v>8591</v>
      </c>
      <c r="I56">
        <v>8548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 s="10">
        <v>307195</v>
      </c>
      <c r="C60">
        <v>157231</v>
      </c>
      <c r="H60">
        <v>66090</v>
      </c>
      <c r="I60">
        <v>30412</v>
      </c>
      <c r="N60" s="10">
        <v>9797315916</v>
      </c>
      <c r="O60">
        <v>9490545095</v>
      </c>
      <c r="T60">
        <v>9388310815</v>
      </c>
      <c r="U60">
        <v>9388310815</v>
      </c>
    </row>
    <row r="61" spans="2:25" x14ac:dyDescent="0.25">
      <c r="B61" s="10">
        <v>307654</v>
      </c>
      <c r="C61">
        <v>158100</v>
      </c>
      <c r="H61">
        <v>64421</v>
      </c>
      <c r="I61">
        <v>29889</v>
      </c>
      <c r="N61" s="10">
        <v>9797315916</v>
      </c>
      <c r="O61">
        <v>9490545095</v>
      </c>
      <c r="T61">
        <v>9388310815</v>
      </c>
      <c r="U61">
        <v>9388310815</v>
      </c>
    </row>
    <row r="62" spans="2:25" x14ac:dyDescent="0.25">
      <c r="B62" s="10">
        <v>303140</v>
      </c>
      <c r="C62">
        <v>157093</v>
      </c>
      <c r="H62">
        <v>66190</v>
      </c>
      <c r="I62">
        <v>29704</v>
      </c>
      <c r="N62" s="10">
        <v>9797315916</v>
      </c>
      <c r="O62">
        <v>9490545095</v>
      </c>
      <c r="T62">
        <v>9388310815</v>
      </c>
      <c r="U62">
        <v>9388310815</v>
      </c>
    </row>
    <row r="63" spans="2:25" x14ac:dyDescent="0.25">
      <c r="B63" s="10">
        <v>315002</v>
      </c>
      <c r="C63">
        <v>157295</v>
      </c>
      <c r="H63">
        <v>66140</v>
      </c>
      <c r="I63">
        <v>30004</v>
      </c>
      <c r="N63" s="10">
        <v>9797315916</v>
      </c>
      <c r="O63">
        <v>9490545095</v>
      </c>
      <c r="T63">
        <v>9388310815</v>
      </c>
      <c r="U63">
        <v>9388310815</v>
      </c>
    </row>
    <row r="64" spans="2:25" x14ac:dyDescent="0.25">
      <c r="B64" s="10">
        <v>303495</v>
      </c>
      <c r="C64">
        <v>157302</v>
      </c>
      <c r="H64">
        <v>65659</v>
      </c>
      <c r="I64">
        <v>30583</v>
      </c>
      <c r="N64" s="10">
        <v>9797315916</v>
      </c>
      <c r="O64">
        <v>9490545095</v>
      </c>
      <c r="T64">
        <v>9388310815</v>
      </c>
      <c r="U64">
        <v>9388310815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 s="10">
        <v>583152</v>
      </c>
      <c r="C68">
        <v>348314</v>
      </c>
      <c r="H68">
        <v>167177</v>
      </c>
      <c r="I68">
        <v>51380</v>
      </c>
    </row>
    <row r="69" spans="2:13" x14ac:dyDescent="0.25">
      <c r="B69" s="10">
        <v>575904</v>
      </c>
      <c r="C69">
        <v>350422</v>
      </c>
      <c r="H69">
        <v>169863</v>
      </c>
      <c r="I69">
        <v>51618</v>
      </c>
    </row>
    <row r="70" spans="2:13" x14ac:dyDescent="0.25">
      <c r="B70" s="10">
        <v>580264</v>
      </c>
      <c r="C70">
        <v>353436</v>
      </c>
      <c r="H70">
        <v>163354</v>
      </c>
      <c r="I70">
        <v>52178</v>
      </c>
    </row>
    <row r="71" spans="2:13" x14ac:dyDescent="0.25">
      <c r="B71" s="10">
        <v>574298</v>
      </c>
      <c r="C71">
        <v>352248</v>
      </c>
      <c r="H71">
        <v>169272</v>
      </c>
      <c r="I71">
        <v>51853</v>
      </c>
    </row>
    <row r="72" spans="2:13" x14ac:dyDescent="0.25">
      <c r="B72" s="10">
        <v>588748</v>
      </c>
      <c r="C72">
        <v>352755</v>
      </c>
      <c r="H72">
        <v>172387</v>
      </c>
      <c r="I72">
        <v>51477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2"/>
  <sheetViews>
    <sheetView workbookViewId="0">
      <selection activeCell="B2" sqref="B2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36</v>
      </c>
    </row>
    <row r="37" spans="2:17" x14ac:dyDescent="0.25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AVERAGE(Table17[Newtonsoft])</f>
        <v>262.2</v>
      </c>
      <c r="D38" s="2">
        <f>AVERAGE(Table17[Revenj])</f>
        <v>271.60000000000002</v>
      </c>
      <c r="E38" s="2">
        <f>AVERAGE(Table17[fastJSON])</f>
        <v>268.39999999999998</v>
      </c>
      <c r="F38" s="2">
        <f>AVERAGE(Table17[Service Stack])</f>
        <v>263.8</v>
      </c>
      <c r="G38" s="2">
        <f>AVERAGE(Table17[Jil])</f>
        <v>264.39999999999998</v>
      </c>
      <c r="H38" s="2">
        <f>AVERAGE(Table17[NetJSON])</f>
        <v>261.8</v>
      </c>
      <c r="I38" s="2">
        <f>AVERAGE(Table17[Jackson])</f>
        <v>50</v>
      </c>
      <c r="J38" s="2">
        <f>AVERAGE(Table17[DSL Platform Java])</f>
        <v>52.6</v>
      </c>
      <c r="K38" s="2">
        <f>AVERAGE(Table17[Genson])</f>
        <v>48.8</v>
      </c>
      <c r="L38" s="2">
        <f>AVERAGE(Table17[Boon])</f>
        <v>50.2</v>
      </c>
      <c r="M38" s="2">
        <f>AVERAGE(Table17[Alibaba])</f>
        <v>55</v>
      </c>
      <c r="N38" s="2">
        <f>AVERAGE(Table17[Gson])</f>
        <v>53.6</v>
      </c>
      <c r="O38" s="2"/>
      <c r="P38" s="2"/>
      <c r="Q38" s="2"/>
    </row>
    <row r="39" spans="2:17" x14ac:dyDescent="0.25">
      <c r="B39" t="s">
        <v>0</v>
      </c>
      <c r="C39" s="2">
        <f>AVERAGE(Table16[Newtonsoft]) - C38</f>
        <v>397.59999999999997</v>
      </c>
      <c r="D39" s="2">
        <f>AVERAGE(Table16[Revenj]) - D38</f>
        <v>105.79999999999995</v>
      </c>
      <c r="E39" s="2">
        <f>AVERAGE(Table16[fastJSON]) - E38</f>
        <v>272.39999999999998</v>
      </c>
      <c r="F39" s="2">
        <f>AVERAGE(Table16[Service Stack]) - F38</f>
        <v>454.99999999999994</v>
      </c>
      <c r="G39" s="2">
        <f>AVERAGE(Table16[Jil]) - G38</f>
        <v>572</v>
      </c>
      <c r="H39" s="2">
        <f>AVERAGE(Table16[NetJSON]) - H38</f>
        <v>188.59999999999997</v>
      </c>
      <c r="I39" s="2">
        <f>AVERAGE(Table16[Jackson]) - I38</f>
        <v>281.8</v>
      </c>
      <c r="J39" s="2">
        <f>AVERAGE(Table16[DSL Platform Java]) - J38</f>
        <v>32.199999999999996</v>
      </c>
      <c r="K39" s="2">
        <f>AVERAGE(Table16[Genson]) - K38</f>
        <v>673</v>
      </c>
      <c r="L39" s="2">
        <f>AVERAGE(Table16[Boon]) - L38</f>
        <v>296</v>
      </c>
      <c r="M39" s="2">
        <f>AVERAGE(Table16[Alibaba]) - M38</f>
        <v>299.60000000000002</v>
      </c>
      <c r="N39" s="2">
        <f>AVERAGE(Table16[Gson]) - N38</f>
        <v>283.2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593</v>
      </c>
      <c r="D40" s="2">
        <f t="shared" si="0"/>
        <v>214.60000000000002</v>
      </c>
      <c r="E40" s="2">
        <f t="shared" ref="E40" si="1">E41 - E39 - E38</f>
        <v>490.20000000000005</v>
      </c>
      <c r="F40" s="2">
        <f t="shared" si="0"/>
        <v>530.79999999999995</v>
      </c>
      <c r="G40" s="2">
        <f t="shared" si="0"/>
        <v>300.39999999999998</v>
      </c>
      <c r="H40" s="2">
        <f t="shared" si="0"/>
        <v>195</v>
      </c>
      <c r="I40" s="2">
        <f t="shared" ref="I40" si="2">I41 - I39 - I38</f>
        <v>293.40000000000003</v>
      </c>
      <c r="J40" s="2">
        <f t="shared" ref="J40" si="3">J41 - J39 - J38</f>
        <v>82.600000000000023</v>
      </c>
      <c r="K40" s="2">
        <f t="shared" ref="K40:L40" si="4">K41 - K39 - K38</f>
        <v>638</v>
      </c>
      <c r="L40" s="2">
        <f t="shared" si="4"/>
        <v>805.8</v>
      </c>
      <c r="M40" s="2">
        <f t="shared" ref="M40" si="5">M41 - M39 - M38</f>
        <v>227</v>
      </c>
      <c r="N40" s="2">
        <f t="shared" ref="N40" si="6">N41 - N39 - N38</f>
        <v>259.2</v>
      </c>
      <c r="O40" s="2"/>
      <c r="P40" s="2"/>
      <c r="Q40" s="2"/>
    </row>
    <row r="41" spans="2:17" x14ac:dyDescent="0.25">
      <c r="B41" t="s">
        <v>25</v>
      </c>
      <c r="C41" s="2">
        <f>AVERAGE(Table18[Newtonsoft])</f>
        <v>1252.8</v>
      </c>
      <c r="D41" s="2">
        <f>AVERAGE(Table18[Revenj])</f>
        <v>592</v>
      </c>
      <c r="E41" s="2">
        <f>AVERAGE(Table18[fastJSON])</f>
        <v>1031</v>
      </c>
      <c r="F41" s="2">
        <f>AVERAGE(Table18[Service Stack])</f>
        <v>1249.5999999999999</v>
      </c>
      <c r="G41" s="2">
        <f>AVERAGE(Table18[Jil])</f>
        <v>1136.8</v>
      </c>
      <c r="H41" s="2">
        <f>AVERAGE(Table18[NetJSON])</f>
        <v>645.4</v>
      </c>
      <c r="I41" s="2">
        <f>AVERAGE(Table18[Jackson])</f>
        <v>625.20000000000005</v>
      </c>
      <c r="J41" s="2">
        <f>AVERAGE(Table18[DSL Platform Java])</f>
        <v>167.4</v>
      </c>
      <c r="K41" s="2">
        <f>AVERAGE(Table18[Genson])</f>
        <v>1359.8</v>
      </c>
      <c r="L41" s="2">
        <f>AVERAGE(Table18[Boon])</f>
        <v>1152</v>
      </c>
      <c r="M41" s="2">
        <f>AVERAGE(Table18[Alibaba])</f>
        <v>581.6</v>
      </c>
      <c r="N41" s="2">
        <f>AVERAGE(Table18[Gson])</f>
        <v>596</v>
      </c>
      <c r="O41" s="2"/>
      <c r="P41" s="2"/>
      <c r="Q41" s="2"/>
    </row>
    <row r="42" spans="2:17" x14ac:dyDescent="0.25">
      <c r="B42" t="s">
        <v>4</v>
      </c>
      <c r="C42" s="3">
        <f>AVERAGE(Table16[Newtonsoft (size)])</f>
        <v>4777780</v>
      </c>
      <c r="D42" s="3">
        <f>AVERAGE(Table16[Revenj (size)])</f>
        <v>4777768</v>
      </c>
      <c r="E42" s="3">
        <f>AVERAGE(Table16[fastJSON (size)])</f>
        <v>4777780</v>
      </c>
      <c r="F42" s="3">
        <f>AVERAGE(Table16[Service Stack (size)])</f>
        <v>4777780</v>
      </c>
      <c r="G42" s="2">
        <f>AVERAGE(Table16[Jil (size)])</f>
        <v>4777780</v>
      </c>
      <c r="H42" s="2">
        <f>AVERAGE(Table16[NetJSON (size)])</f>
        <v>4777768</v>
      </c>
      <c r="I42" s="2">
        <f>AVERAGE(Table16[Jackson (size)])</f>
        <v>4777768</v>
      </c>
      <c r="J42" s="2">
        <f>AVERAGE(Table16[DSL Platform Java (size)])</f>
        <v>4777768</v>
      </c>
      <c r="K42" s="2">
        <f>AVERAGE(Table16[Genson (size)])</f>
        <v>4777780</v>
      </c>
      <c r="L42" s="2">
        <f>AVERAGE(Table16[Boon (size)])</f>
        <v>4777768</v>
      </c>
      <c r="M42" s="2">
        <f>AVERAGE(Table16[Alibaba (size)])</f>
        <v>4777780</v>
      </c>
      <c r="N42" s="2">
        <f>AVERAGE(Table16[Gson (size)])</f>
        <v>4777780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DEVSQ(Table16[Newtonsoft])</f>
        <v>508.8</v>
      </c>
      <c r="D47" s="2">
        <f>DEVSQ(Table16[Revenj])</f>
        <v>291.19999999999993</v>
      </c>
      <c r="E47" s="2">
        <f>DEVSQ(Table16[fastJSON])</f>
        <v>554.79999999999995</v>
      </c>
      <c r="F47" s="2">
        <f>DEVSQ(Table16[Service Stack])</f>
        <v>218.8</v>
      </c>
      <c r="G47" s="2">
        <f>DEVSQ(Table16[Jil])</f>
        <v>847.19999999999993</v>
      </c>
      <c r="H47" s="2">
        <f>DEVSQ(Table16[NetJSON])</f>
        <v>91.2</v>
      </c>
      <c r="I47" s="2">
        <f>DEVSQ(Table16[Jackson])</f>
        <v>2652.8</v>
      </c>
      <c r="J47" s="2">
        <f>DEVSQ(Table16[DSL Platform Java])</f>
        <v>34.799999999999997</v>
      </c>
      <c r="K47" s="2">
        <f>DEVSQ(Table16[Genson])</f>
        <v>814.8</v>
      </c>
      <c r="L47" s="2">
        <f>DEVSQ(Table16[Boon])</f>
        <v>86.8</v>
      </c>
      <c r="M47" s="2">
        <f>DEVSQ(Table16[Alibaba])</f>
        <v>17.2</v>
      </c>
      <c r="N47" s="2">
        <f>DEVSQ(Table16[Gson])</f>
        <v>102.79999999999998</v>
      </c>
      <c r="O47" s="2"/>
      <c r="P47" s="2"/>
      <c r="Q47" s="2"/>
    </row>
    <row r="48" spans="2:17" x14ac:dyDescent="0.25">
      <c r="B48" t="s">
        <v>25</v>
      </c>
      <c r="C48" s="2">
        <f>DEVSQ(Table18[Newtonsoft])</f>
        <v>204.8</v>
      </c>
      <c r="D48" s="2">
        <f>DEVSQ(Table18[Revenj])</f>
        <v>128</v>
      </c>
      <c r="E48" s="2">
        <f>DEVSQ(Table18[fastJSON])</f>
        <v>256</v>
      </c>
      <c r="F48" s="2">
        <f>DEVSQ(Table18[Service Stack])</f>
        <v>223.20000000000002</v>
      </c>
      <c r="G48" s="2">
        <f>DEVSQ(Table18[Jil])</f>
        <v>1238.8</v>
      </c>
      <c r="H48" s="2">
        <f>DEVSQ(Table18[NetJSON])</f>
        <v>245.2</v>
      </c>
      <c r="I48" s="2">
        <f>DEVSQ(Table18[Jackson])</f>
        <v>4394.7999999999993</v>
      </c>
      <c r="J48" s="2">
        <f>DEVSQ(Table18[DSL Platform Java])</f>
        <v>27.199999999999996</v>
      </c>
      <c r="K48" s="2">
        <f>DEVSQ(Table18[Genson])</f>
        <v>2618.7999999999997</v>
      </c>
      <c r="L48" s="2">
        <f>DEVSQ(Table18[Boon])</f>
        <v>6514</v>
      </c>
      <c r="M48" s="2">
        <f>DEVSQ(Table18[Alibaba])</f>
        <v>245.2</v>
      </c>
      <c r="N48" s="2">
        <f>DEVSQ(Table18[Gson])</f>
        <v>4220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261</v>
      </c>
      <c r="C52">
        <v>278</v>
      </c>
      <c r="D52">
        <v>270</v>
      </c>
      <c r="E52">
        <v>259</v>
      </c>
      <c r="F52">
        <v>261</v>
      </c>
      <c r="G52">
        <v>261</v>
      </c>
      <c r="H52">
        <v>50</v>
      </c>
      <c r="I52">
        <v>56</v>
      </c>
      <c r="J52">
        <v>48</v>
      </c>
      <c r="K52">
        <v>47</v>
      </c>
      <c r="L52">
        <v>50</v>
      </c>
      <c r="M52">
        <v>51</v>
      </c>
    </row>
    <row r="53" spans="2:25" x14ac:dyDescent="0.25">
      <c r="B53">
        <v>265</v>
      </c>
      <c r="C53">
        <v>273</v>
      </c>
      <c r="D53">
        <v>271</v>
      </c>
      <c r="E53">
        <v>268</v>
      </c>
      <c r="F53">
        <v>270</v>
      </c>
      <c r="G53">
        <v>261</v>
      </c>
      <c r="H53">
        <v>50</v>
      </c>
      <c r="I53">
        <v>52</v>
      </c>
      <c r="J53">
        <v>51</v>
      </c>
      <c r="K53">
        <v>48</v>
      </c>
      <c r="L53">
        <v>56</v>
      </c>
      <c r="M53">
        <v>56</v>
      </c>
    </row>
    <row r="54" spans="2:25" x14ac:dyDescent="0.25">
      <c r="B54">
        <v>263</v>
      </c>
      <c r="C54">
        <v>265</v>
      </c>
      <c r="D54">
        <v>263</v>
      </c>
      <c r="E54">
        <v>271</v>
      </c>
      <c r="F54">
        <v>263</v>
      </c>
      <c r="G54">
        <v>261</v>
      </c>
      <c r="H54">
        <v>50</v>
      </c>
      <c r="I54">
        <v>52</v>
      </c>
      <c r="J54">
        <v>49</v>
      </c>
      <c r="K54">
        <v>56</v>
      </c>
      <c r="L54">
        <v>53</v>
      </c>
      <c r="M54">
        <v>55</v>
      </c>
    </row>
    <row r="55" spans="2:25" x14ac:dyDescent="0.25">
      <c r="B55">
        <v>259</v>
      </c>
      <c r="C55">
        <v>270</v>
      </c>
      <c r="D55">
        <v>271</v>
      </c>
      <c r="E55">
        <v>260</v>
      </c>
      <c r="F55">
        <v>257</v>
      </c>
      <c r="G55">
        <v>261</v>
      </c>
      <c r="H55">
        <v>51</v>
      </c>
      <c r="I55">
        <v>51</v>
      </c>
      <c r="J55">
        <v>48</v>
      </c>
      <c r="K55">
        <v>52</v>
      </c>
      <c r="L55">
        <v>59</v>
      </c>
      <c r="M55">
        <v>53</v>
      </c>
    </row>
    <row r="56" spans="2:25" x14ac:dyDescent="0.25">
      <c r="B56">
        <v>263</v>
      </c>
      <c r="C56">
        <v>272</v>
      </c>
      <c r="D56">
        <v>267</v>
      </c>
      <c r="E56">
        <v>261</v>
      </c>
      <c r="F56">
        <v>271</v>
      </c>
      <c r="G56">
        <v>265</v>
      </c>
      <c r="H56">
        <v>49</v>
      </c>
      <c r="I56">
        <v>52</v>
      </c>
      <c r="J56">
        <v>48</v>
      </c>
      <c r="K56">
        <v>48</v>
      </c>
      <c r="L56">
        <v>57</v>
      </c>
      <c r="M56">
        <v>53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670</v>
      </c>
      <c r="C60">
        <v>365</v>
      </c>
      <c r="D60">
        <v>553</v>
      </c>
      <c r="E60">
        <v>707</v>
      </c>
      <c r="F60">
        <v>843</v>
      </c>
      <c r="G60">
        <v>449</v>
      </c>
      <c r="H60">
        <v>366</v>
      </c>
      <c r="I60">
        <v>88</v>
      </c>
      <c r="J60">
        <v>739</v>
      </c>
      <c r="K60">
        <v>351</v>
      </c>
      <c r="L60">
        <v>355</v>
      </c>
      <c r="M60">
        <v>335</v>
      </c>
      <c r="N60">
        <v>4777780</v>
      </c>
      <c r="O60">
        <v>4777768</v>
      </c>
      <c r="P60">
        <v>4777780</v>
      </c>
      <c r="Q60">
        <v>4777780</v>
      </c>
      <c r="R60">
        <v>4777780</v>
      </c>
      <c r="S60">
        <v>4777768</v>
      </c>
      <c r="T60">
        <v>4777768</v>
      </c>
      <c r="U60">
        <v>4777768</v>
      </c>
      <c r="V60">
        <v>4777780</v>
      </c>
      <c r="W60">
        <v>4777768</v>
      </c>
      <c r="X60">
        <v>4777780</v>
      </c>
      <c r="Y60">
        <v>4777780</v>
      </c>
    </row>
    <row r="61" spans="2:25" x14ac:dyDescent="0.25">
      <c r="B61">
        <v>660</v>
      </c>
      <c r="C61">
        <v>381</v>
      </c>
      <c r="D61">
        <v>541</v>
      </c>
      <c r="E61">
        <v>726</v>
      </c>
      <c r="F61">
        <v>829</v>
      </c>
      <c r="G61">
        <v>458</v>
      </c>
      <c r="H61">
        <v>294</v>
      </c>
      <c r="I61">
        <v>86</v>
      </c>
      <c r="J61">
        <v>706</v>
      </c>
      <c r="K61">
        <v>350</v>
      </c>
      <c r="L61">
        <v>352</v>
      </c>
      <c r="M61">
        <v>329</v>
      </c>
      <c r="N61">
        <v>4777780</v>
      </c>
      <c r="O61">
        <v>4777768</v>
      </c>
      <c r="P61">
        <v>4777780</v>
      </c>
      <c r="Q61">
        <v>4777780</v>
      </c>
      <c r="R61">
        <v>4777780</v>
      </c>
      <c r="S61">
        <v>4777768</v>
      </c>
      <c r="T61">
        <v>4777768</v>
      </c>
      <c r="U61">
        <v>4777768</v>
      </c>
      <c r="V61">
        <v>4777780</v>
      </c>
      <c r="W61">
        <v>4777768</v>
      </c>
      <c r="X61">
        <v>4777780</v>
      </c>
      <c r="Y61">
        <v>4777780</v>
      </c>
    </row>
    <row r="62" spans="2:25" x14ac:dyDescent="0.25">
      <c r="B62">
        <v>658</v>
      </c>
      <c r="C62">
        <v>381</v>
      </c>
      <c r="D62">
        <v>548</v>
      </c>
      <c r="E62">
        <v>719</v>
      </c>
      <c r="F62">
        <v>859</v>
      </c>
      <c r="G62">
        <v>451</v>
      </c>
      <c r="H62">
        <v>333</v>
      </c>
      <c r="I62">
        <v>85</v>
      </c>
      <c r="J62">
        <v>709</v>
      </c>
      <c r="K62">
        <v>347</v>
      </c>
      <c r="L62">
        <v>357</v>
      </c>
      <c r="M62">
        <v>342</v>
      </c>
      <c r="N62">
        <v>4777780</v>
      </c>
      <c r="O62">
        <v>4777768</v>
      </c>
      <c r="P62">
        <v>4777780</v>
      </c>
      <c r="Q62">
        <v>4777780</v>
      </c>
      <c r="R62">
        <v>4777780</v>
      </c>
      <c r="S62">
        <v>4777768</v>
      </c>
      <c r="T62">
        <v>4777768</v>
      </c>
      <c r="U62">
        <v>4777768</v>
      </c>
      <c r="V62">
        <v>4777780</v>
      </c>
      <c r="W62">
        <v>4777768</v>
      </c>
      <c r="X62">
        <v>4777780</v>
      </c>
      <c r="Y62">
        <v>4777780</v>
      </c>
    </row>
    <row r="63" spans="2:25" x14ac:dyDescent="0.25">
      <c r="B63">
        <v>642</v>
      </c>
      <c r="C63">
        <v>387</v>
      </c>
      <c r="D63">
        <v>540</v>
      </c>
      <c r="E63">
        <v>718</v>
      </c>
      <c r="F63">
        <v>826</v>
      </c>
      <c r="G63">
        <v>449</v>
      </c>
      <c r="H63">
        <v>338</v>
      </c>
      <c r="I63">
        <v>85</v>
      </c>
      <c r="J63">
        <v>732</v>
      </c>
      <c r="K63">
        <v>343</v>
      </c>
      <c r="L63">
        <v>353</v>
      </c>
      <c r="M63">
        <v>340</v>
      </c>
      <c r="N63">
        <v>4777780</v>
      </c>
      <c r="O63">
        <v>4777768</v>
      </c>
      <c r="P63">
        <v>4777780</v>
      </c>
      <c r="Q63">
        <v>4777780</v>
      </c>
      <c r="R63">
        <v>4777780</v>
      </c>
      <c r="S63">
        <v>4777768</v>
      </c>
      <c r="T63">
        <v>4777768</v>
      </c>
      <c r="U63">
        <v>4777768</v>
      </c>
      <c r="V63">
        <v>4777780</v>
      </c>
      <c r="W63">
        <v>4777768</v>
      </c>
      <c r="X63">
        <v>4777780</v>
      </c>
      <c r="Y63">
        <v>4777780</v>
      </c>
    </row>
    <row r="64" spans="2:25" x14ac:dyDescent="0.25">
      <c r="B64">
        <v>669</v>
      </c>
      <c r="C64">
        <v>373</v>
      </c>
      <c r="D64">
        <v>522</v>
      </c>
      <c r="E64">
        <v>724</v>
      </c>
      <c r="F64">
        <v>825</v>
      </c>
      <c r="G64">
        <v>445</v>
      </c>
      <c r="H64">
        <v>328</v>
      </c>
      <c r="I64">
        <v>80</v>
      </c>
      <c r="J64">
        <v>723</v>
      </c>
      <c r="K64">
        <v>340</v>
      </c>
      <c r="L64">
        <v>356</v>
      </c>
      <c r="M64">
        <v>338</v>
      </c>
      <c r="N64">
        <v>4777780</v>
      </c>
      <c r="O64">
        <v>4777768</v>
      </c>
      <c r="P64">
        <v>4777780</v>
      </c>
      <c r="Q64">
        <v>4777780</v>
      </c>
      <c r="R64">
        <v>4777780</v>
      </c>
      <c r="S64">
        <v>4777768</v>
      </c>
      <c r="T64">
        <v>4777768</v>
      </c>
      <c r="U64">
        <v>4777768</v>
      </c>
      <c r="V64">
        <v>4777780</v>
      </c>
      <c r="W64">
        <v>4777768</v>
      </c>
      <c r="X64">
        <v>4777780</v>
      </c>
      <c r="Y64">
        <v>4777780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1263</v>
      </c>
      <c r="C68">
        <v>599</v>
      </c>
      <c r="D68">
        <v>1026</v>
      </c>
      <c r="E68">
        <v>1257</v>
      </c>
      <c r="F68">
        <v>1125</v>
      </c>
      <c r="G68">
        <v>650</v>
      </c>
      <c r="H68">
        <v>604</v>
      </c>
      <c r="I68">
        <v>166</v>
      </c>
      <c r="J68">
        <v>1341</v>
      </c>
      <c r="K68">
        <v>1214</v>
      </c>
      <c r="L68">
        <v>578</v>
      </c>
      <c r="M68">
        <v>571</v>
      </c>
    </row>
    <row r="69" spans="2:13" x14ac:dyDescent="0.25">
      <c r="B69">
        <v>1257</v>
      </c>
      <c r="C69">
        <v>589</v>
      </c>
      <c r="D69">
        <v>1028</v>
      </c>
      <c r="E69">
        <v>1240</v>
      </c>
      <c r="F69">
        <v>1150</v>
      </c>
      <c r="G69">
        <v>648</v>
      </c>
      <c r="H69">
        <v>641</v>
      </c>
      <c r="I69">
        <v>168</v>
      </c>
      <c r="J69">
        <v>1348</v>
      </c>
      <c r="K69">
        <v>1124</v>
      </c>
      <c r="L69">
        <v>574</v>
      </c>
      <c r="M69">
        <v>624</v>
      </c>
    </row>
    <row r="70" spans="2:13" x14ac:dyDescent="0.25">
      <c r="B70">
        <v>1250</v>
      </c>
      <c r="C70">
        <v>597</v>
      </c>
      <c r="D70">
        <v>1044</v>
      </c>
      <c r="E70">
        <v>1249</v>
      </c>
      <c r="F70">
        <v>1118</v>
      </c>
      <c r="G70">
        <v>643</v>
      </c>
      <c r="H70">
        <v>581</v>
      </c>
      <c r="I70">
        <v>164</v>
      </c>
      <c r="J70">
        <v>1396</v>
      </c>
      <c r="K70">
        <v>1111</v>
      </c>
      <c r="L70">
        <v>591</v>
      </c>
      <c r="M70">
        <v>607</v>
      </c>
    </row>
    <row r="71" spans="2:13" x14ac:dyDescent="0.25">
      <c r="B71">
        <v>1245</v>
      </c>
      <c r="C71">
        <v>589</v>
      </c>
      <c r="D71">
        <v>1033</v>
      </c>
      <c r="E71">
        <v>1257</v>
      </c>
      <c r="F71">
        <v>1160</v>
      </c>
      <c r="G71">
        <v>633</v>
      </c>
      <c r="H71">
        <v>634</v>
      </c>
      <c r="I71">
        <v>168</v>
      </c>
      <c r="J71">
        <v>1377</v>
      </c>
      <c r="K71">
        <v>1146</v>
      </c>
      <c r="L71">
        <v>576</v>
      </c>
      <c r="M71">
        <v>625</v>
      </c>
    </row>
    <row r="72" spans="2:13" x14ac:dyDescent="0.25">
      <c r="B72">
        <v>1249</v>
      </c>
      <c r="C72">
        <v>586</v>
      </c>
      <c r="D72">
        <v>1024</v>
      </c>
      <c r="E72">
        <v>1245</v>
      </c>
      <c r="F72">
        <v>1131</v>
      </c>
      <c r="G72">
        <v>653</v>
      </c>
      <c r="H72">
        <v>666</v>
      </c>
      <c r="I72">
        <v>171</v>
      </c>
      <c r="J72">
        <v>1337</v>
      </c>
      <c r="K72">
        <v>1165</v>
      </c>
      <c r="L72">
        <v>589</v>
      </c>
      <c r="M72">
        <v>553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2"/>
  <sheetViews>
    <sheetView workbookViewId="0">
      <selection activeCell="A51" sqref="A5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37</v>
      </c>
    </row>
    <row r="37" spans="2:17" x14ac:dyDescent="0.25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AVERAGE(Table22[Newtonsoft])</f>
        <v>1099.8</v>
      </c>
      <c r="D38" s="2">
        <f>AVERAGE(Table22[Revenj])</f>
        <v>1096.5999999999999</v>
      </c>
      <c r="E38" s="2">
        <f>AVERAGE(Table22[fastJSON])</f>
        <v>1084.8</v>
      </c>
      <c r="F38" s="2">
        <f>AVERAGE(Table22[Service Stack])</f>
        <v>1051.5999999999999</v>
      </c>
      <c r="G38" s="2">
        <f>AVERAGE(Table22[Jil])</f>
        <v>1075</v>
      </c>
      <c r="H38" s="2">
        <f>AVERAGE(Table22[NetJSON])</f>
        <v>1102.2</v>
      </c>
      <c r="I38" s="2">
        <f>AVERAGE(Table22[Jackson])</f>
        <v>152</v>
      </c>
      <c r="J38" s="2">
        <f>AVERAGE(Table22[DSL Platform Java])</f>
        <v>147</v>
      </c>
      <c r="K38" s="2">
        <f>AVERAGE(Table22[Genson])</f>
        <v>144</v>
      </c>
      <c r="L38" s="2">
        <f>AVERAGE(Table22[Boon])</f>
        <v>142.6</v>
      </c>
      <c r="M38" s="2">
        <f>AVERAGE(Table22[Alibaba])</f>
        <v>147.80000000000001</v>
      </c>
      <c r="N38" s="2">
        <f>AVERAGE(Table22[Gson])</f>
        <v>149</v>
      </c>
      <c r="O38" s="2"/>
      <c r="P38" s="2"/>
      <c r="Q38" s="2"/>
    </row>
    <row r="39" spans="2:17" x14ac:dyDescent="0.25">
      <c r="B39" t="s">
        <v>0</v>
      </c>
      <c r="C39" s="2">
        <f>AVERAGE(Table21[Newtonsoft]) - C38</f>
        <v>3071</v>
      </c>
      <c r="D39" s="2">
        <f>AVERAGE(Table21[Revenj]) - D38</f>
        <v>1024</v>
      </c>
      <c r="E39" s="2">
        <f>AVERAGE(Table21[fastJSON]) - E38</f>
        <v>2820.8</v>
      </c>
      <c r="F39" s="2">
        <f>AVERAGE(Table21[Service Stack]) - F38</f>
        <v>3729.2000000000003</v>
      </c>
      <c r="G39" s="2">
        <f>AVERAGE(Table21[Jil]) - G38</f>
        <v>4371.8</v>
      </c>
      <c r="H39" s="2">
        <f>AVERAGE(Table21[NetJSON]) - H38</f>
        <v>1526.6000000000001</v>
      </c>
      <c r="I39" s="2">
        <f>AVERAGE(Table21[Jackson]) - I38</f>
        <v>688.6</v>
      </c>
      <c r="J39" s="2">
        <f>AVERAGE(Table21[DSL Platform Java]) - J38</f>
        <v>121</v>
      </c>
      <c r="K39" s="2">
        <f>AVERAGE(Table21[Genson]) - K38</f>
        <v>3871.8</v>
      </c>
      <c r="L39" s="2">
        <f>AVERAGE(Table21[Boon]) - L38</f>
        <v>854.6</v>
      </c>
      <c r="M39" s="2">
        <f>AVERAGE(Table21[Alibaba]) - M38</f>
        <v>720</v>
      </c>
      <c r="N39" s="2">
        <f>AVERAGE(Table21[Gson]) - N38</f>
        <v>1237.4000000000001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5959.2</v>
      </c>
      <c r="D40" s="2">
        <f t="shared" si="0"/>
        <v>2107.0000000000005</v>
      </c>
      <c r="E40" s="2">
        <f t="shared" ref="E40" si="1">E41 - E39 - E38</f>
        <v>4648.3999999999996</v>
      </c>
      <c r="F40" s="2">
        <f t="shared" si="0"/>
        <v>5236.1999999999989</v>
      </c>
      <c r="G40" s="2">
        <f t="shared" si="0"/>
        <v>2426.1999999999998</v>
      </c>
      <c r="H40" s="2">
        <f t="shared" si="0"/>
        <v>1848.9999999999998</v>
      </c>
      <c r="I40" s="2">
        <f t="shared" ref="I40" si="2">I41 - I39 - I38</f>
        <v>889.40000000000009</v>
      </c>
      <c r="J40" s="2">
        <f t="shared" ref="J40" si="3">J41 - J39 - J38</f>
        <v>262</v>
      </c>
      <c r="K40" s="2">
        <f t="shared" ref="K40:L40" si="4">K41 - K39 - K38</f>
        <v>3847.5999999999995</v>
      </c>
      <c r="L40" s="2">
        <f t="shared" si="4"/>
        <v>6036.4</v>
      </c>
      <c r="M40" s="2">
        <f t="shared" ref="M40" si="5">M41 - M39 - M38</f>
        <v>944</v>
      </c>
      <c r="N40" s="2">
        <f t="shared" ref="N40" si="6">N41 - N39 - N38</f>
        <v>1646</v>
      </c>
      <c r="O40" s="2"/>
      <c r="P40" s="2"/>
      <c r="Q40" s="2"/>
    </row>
    <row r="41" spans="2:17" x14ac:dyDescent="0.25">
      <c r="B41" t="s">
        <v>25</v>
      </c>
      <c r="C41" s="2">
        <f>AVERAGE(Table23[Newtonsoft])</f>
        <v>10130</v>
      </c>
      <c r="D41" s="2">
        <f>AVERAGE(Table23[Revenj])</f>
        <v>4227.6000000000004</v>
      </c>
      <c r="E41" s="2">
        <f>AVERAGE(Table23[fastJSON])</f>
        <v>8554</v>
      </c>
      <c r="F41" s="2">
        <f>AVERAGE(Table23[Service Stack])</f>
        <v>10017</v>
      </c>
      <c r="G41" s="2">
        <f>AVERAGE(Table23[Jil])</f>
        <v>7873</v>
      </c>
      <c r="H41" s="2">
        <f>AVERAGE(Table23[NetJSON])</f>
        <v>4477.8</v>
      </c>
      <c r="I41" s="2">
        <f>AVERAGE(Table23[Jackson])</f>
        <v>1730</v>
      </c>
      <c r="J41" s="2">
        <f>AVERAGE(Table23[DSL Platform Java])</f>
        <v>530</v>
      </c>
      <c r="K41" s="2">
        <f>AVERAGE(Table23[Genson])</f>
        <v>7863.4</v>
      </c>
      <c r="L41" s="2">
        <f>AVERAGE(Table23[Boon])</f>
        <v>7033.6</v>
      </c>
      <c r="M41" s="2">
        <f>AVERAGE(Table23[Alibaba])</f>
        <v>1811.8</v>
      </c>
      <c r="N41" s="2">
        <f>AVERAGE(Table23[Gson])</f>
        <v>3032.4</v>
      </c>
      <c r="O41" s="2"/>
      <c r="P41" s="2"/>
      <c r="Q41" s="2"/>
    </row>
    <row r="42" spans="2:17" x14ac:dyDescent="0.25">
      <c r="B42" t="s">
        <v>4</v>
      </c>
      <c r="C42" s="3">
        <f>AVERAGE(Table21[Newtonsoft (size)])</f>
        <v>49777780</v>
      </c>
      <c r="D42" s="3">
        <f>AVERAGE(Table21[Revenj (size)])</f>
        <v>49777768</v>
      </c>
      <c r="E42" s="3">
        <f>AVERAGE(Table21[fastJSON (size)])</f>
        <v>49777780</v>
      </c>
      <c r="F42" s="3">
        <f>AVERAGE(Table21[Service Stack (size)])</f>
        <v>49777780</v>
      </c>
      <c r="G42" s="2">
        <f>AVERAGE(Table21[Jil (size)])</f>
        <v>49777780</v>
      </c>
      <c r="H42" s="2">
        <f>AVERAGE(Table21[NetJSON (size)])</f>
        <v>49777768</v>
      </c>
      <c r="I42" s="2">
        <f>AVERAGE(Table21[Jackson (size)])</f>
        <v>49777768</v>
      </c>
      <c r="J42" s="2">
        <f>AVERAGE(Table21[DSL Platform Java (size)])</f>
        <v>49777768</v>
      </c>
      <c r="K42" s="2">
        <f>AVERAGE(Table21[Genson (size)])</f>
        <v>49777780</v>
      </c>
      <c r="L42" s="2">
        <f>AVERAGE(Table21[Boon (size)])</f>
        <v>49777768</v>
      </c>
      <c r="M42" s="2">
        <f>AVERAGE(Table21[Alibaba (size)])</f>
        <v>49777780</v>
      </c>
      <c r="N42" s="2">
        <f>AVERAGE(Table21[Gson (size)])</f>
        <v>49777780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DEVSQ(Table21[Newtonsoft])</f>
        <v>33006.799999999996</v>
      </c>
      <c r="D47" s="2">
        <f>DEVSQ(Table21[Revenj])</f>
        <v>13889.2</v>
      </c>
      <c r="E47" s="2">
        <f>DEVSQ(Table21[fastJSON])</f>
        <v>92613.200000000012</v>
      </c>
      <c r="F47" s="2">
        <f>DEVSQ(Table21[Service Stack])</f>
        <v>19538.8</v>
      </c>
      <c r="G47" s="2">
        <f>DEVSQ(Table21[Jil])</f>
        <v>15076.8</v>
      </c>
      <c r="H47" s="2">
        <f>DEVSQ(Table21[NetJSON])</f>
        <v>155064.79999999999</v>
      </c>
      <c r="I47" s="2">
        <f>DEVSQ(Table21[Jackson])</f>
        <v>491.2</v>
      </c>
      <c r="J47" s="2">
        <f>DEVSQ(Table21[DSL Platform Java])</f>
        <v>66</v>
      </c>
      <c r="K47" s="2">
        <f>DEVSQ(Table21[Genson])</f>
        <v>39432.800000000003</v>
      </c>
      <c r="L47" s="2">
        <f>DEVSQ(Table21[Boon])</f>
        <v>1650.8</v>
      </c>
      <c r="M47" s="2">
        <f>DEVSQ(Table21[Alibaba])</f>
        <v>346.8</v>
      </c>
      <c r="N47" s="2">
        <f>DEVSQ(Table21[Gson])</f>
        <v>1841.2</v>
      </c>
      <c r="O47" s="2"/>
      <c r="P47" s="2"/>
      <c r="Q47" s="2"/>
    </row>
    <row r="48" spans="2:17" x14ac:dyDescent="0.25">
      <c r="B48" t="s">
        <v>25</v>
      </c>
      <c r="C48" s="2">
        <f>DEVSQ(Table23[Newtonsoft])</f>
        <v>84274</v>
      </c>
      <c r="D48" s="2">
        <f>DEVSQ(Table23[Revenj])</f>
        <v>55309.2</v>
      </c>
      <c r="E48" s="2">
        <f>DEVSQ(Table23[fastJSON])</f>
        <v>347858</v>
      </c>
      <c r="F48" s="2">
        <f>DEVSQ(Table23[Service Stack])</f>
        <v>91538</v>
      </c>
      <c r="G48" s="2">
        <f>DEVSQ(Table23[Jil])</f>
        <v>28006</v>
      </c>
      <c r="H48" s="2">
        <f>DEVSQ(Table23[NetJSON])</f>
        <v>61362.8</v>
      </c>
      <c r="I48" s="2">
        <f>DEVSQ(Table23[Jackson])</f>
        <v>17070</v>
      </c>
      <c r="J48" s="2">
        <f>DEVSQ(Table23[DSL Platform Java])</f>
        <v>4172</v>
      </c>
      <c r="K48" s="2">
        <f>DEVSQ(Table23[Genson])</f>
        <v>17129.2</v>
      </c>
      <c r="L48" s="2">
        <f>DEVSQ(Table23[Boon])</f>
        <v>195997.19999999998</v>
      </c>
      <c r="M48" s="2">
        <f>DEVSQ(Table23[Alibaba])</f>
        <v>15194.8</v>
      </c>
      <c r="N48" s="2">
        <f>DEVSQ(Table23[Gson])</f>
        <v>43329.2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1134</v>
      </c>
      <c r="C52">
        <v>1113</v>
      </c>
      <c r="D52">
        <v>1008</v>
      </c>
      <c r="E52">
        <v>1005</v>
      </c>
      <c r="F52">
        <v>1038</v>
      </c>
      <c r="G52">
        <v>1093</v>
      </c>
      <c r="H52">
        <v>153</v>
      </c>
      <c r="I52">
        <v>142</v>
      </c>
      <c r="J52">
        <v>149</v>
      </c>
      <c r="K52">
        <v>151</v>
      </c>
      <c r="L52">
        <v>147</v>
      </c>
      <c r="M52">
        <v>153</v>
      </c>
    </row>
    <row r="53" spans="2:25" x14ac:dyDescent="0.25">
      <c r="B53">
        <v>1076</v>
      </c>
      <c r="C53">
        <v>1107</v>
      </c>
      <c r="D53">
        <v>1058</v>
      </c>
      <c r="E53">
        <v>1086</v>
      </c>
      <c r="F53">
        <v>1037</v>
      </c>
      <c r="G53">
        <v>1148</v>
      </c>
      <c r="H53">
        <v>146</v>
      </c>
      <c r="I53">
        <v>150</v>
      </c>
      <c r="J53">
        <v>133</v>
      </c>
      <c r="K53">
        <v>142</v>
      </c>
      <c r="L53">
        <v>138</v>
      </c>
      <c r="M53">
        <v>152</v>
      </c>
    </row>
    <row r="54" spans="2:25" x14ac:dyDescent="0.25">
      <c r="B54">
        <v>1114</v>
      </c>
      <c r="C54">
        <v>1107</v>
      </c>
      <c r="D54">
        <v>1066</v>
      </c>
      <c r="E54">
        <v>1043</v>
      </c>
      <c r="F54">
        <v>1119</v>
      </c>
      <c r="G54">
        <v>1041</v>
      </c>
      <c r="H54">
        <v>153</v>
      </c>
      <c r="I54">
        <v>147</v>
      </c>
      <c r="J54">
        <v>144</v>
      </c>
      <c r="K54">
        <v>137</v>
      </c>
      <c r="L54">
        <v>153</v>
      </c>
      <c r="M54">
        <v>155</v>
      </c>
    </row>
    <row r="55" spans="2:25" x14ac:dyDescent="0.25">
      <c r="B55">
        <v>1064</v>
      </c>
      <c r="C55">
        <v>1113</v>
      </c>
      <c r="D55">
        <v>1153</v>
      </c>
      <c r="E55">
        <v>1021</v>
      </c>
      <c r="F55">
        <v>1073</v>
      </c>
      <c r="G55">
        <v>1060</v>
      </c>
      <c r="H55">
        <v>145</v>
      </c>
      <c r="I55">
        <v>146</v>
      </c>
      <c r="J55">
        <v>147</v>
      </c>
      <c r="K55">
        <v>141</v>
      </c>
      <c r="L55">
        <v>153</v>
      </c>
      <c r="M55">
        <v>144</v>
      </c>
    </row>
    <row r="56" spans="2:25" x14ac:dyDescent="0.25">
      <c r="B56">
        <v>1111</v>
      </c>
      <c r="C56">
        <v>1043</v>
      </c>
      <c r="D56">
        <v>1139</v>
      </c>
      <c r="E56">
        <v>1103</v>
      </c>
      <c r="F56">
        <v>1108</v>
      </c>
      <c r="G56">
        <v>1169</v>
      </c>
      <c r="H56">
        <v>163</v>
      </c>
      <c r="I56">
        <v>150</v>
      </c>
      <c r="J56">
        <v>147</v>
      </c>
      <c r="K56">
        <v>142</v>
      </c>
      <c r="L56">
        <v>148</v>
      </c>
      <c r="M56">
        <v>141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4181</v>
      </c>
      <c r="C60">
        <v>2072</v>
      </c>
      <c r="D60">
        <v>3830</v>
      </c>
      <c r="E60">
        <v>4730</v>
      </c>
      <c r="F60">
        <v>5457</v>
      </c>
      <c r="G60">
        <v>2405</v>
      </c>
      <c r="H60">
        <v>832</v>
      </c>
      <c r="I60">
        <v>268</v>
      </c>
      <c r="J60">
        <v>3996</v>
      </c>
      <c r="K60">
        <v>1005</v>
      </c>
      <c r="L60">
        <v>872</v>
      </c>
      <c r="M60">
        <v>1362</v>
      </c>
      <c r="N60">
        <v>49777780</v>
      </c>
      <c r="O60">
        <v>49777768</v>
      </c>
      <c r="P60">
        <v>49777780</v>
      </c>
      <c r="Q60">
        <v>49777780</v>
      </c>
      <c r="R60">
        <v>49777780</v>
      </c>
      <c r="S60">
        <v>49777768</v>
      </c>
      <c r="T60">
        <v>49777768</v>
      </c>
      <c r="U60">
        <v>49777768</v>
      </c>
      <c r="V60">
        <v>49777780</v>
      </c>
      <c r="W60">
        <v>49777768</v>
      </c>
      <c r="X60">
        <v>49777780</v>
      </c>
      <c r="Y60">
        <v>49777780</v>
      </c>
    </row>
    <row r="61" spans="2:25" x14ac:dyDescent="0.25">
      <c r="B61">
        <v>4235</v>
      </c>
      <c r="C61">
        <v>2217</v>
      </c>
      <c r="D61">
        <v>3701</v>
      </c>
      <c r="E61">
        <v>4718</v>
      </c>
      <c r="F61">
        <v>5391</v>
      </c>
      <c r="G61">
        <v>2453</v>
      </c>
      <c r="H61">
        <v>836</v>
      </c>
      <c r="I61">
        <v>266</v>
      </c>
      <c r="J61">
        <v>3883</v>
      </c>
      <c r="K61">
        <v>1008</v>
      </c>
      <c r="L61">
        <v>856</v>
      </c>
      <c r="M61">
        <v>1404</v>
      </c>
      <c r="N61">
        <v>49777780</v>
      </c>
      <c r="O61">
        <v>49777768</v>
      </c>
      <c r="P61">
        <v>49777780</v>
      </c>
      <c r="Q61">
        <v>49777780</v>
      </c>
      <c r="R61">
        <v>49777780</v>
      </c>
      <c r="S61">
        <v>49777768</v>
      </c>
      <c r="T61">
        <v>49777768</v>
      </c>
      <c r="U61">
        <v>49777768</v>
      </c>
      <c r="V61">
        <v>49777780</v>
      </c>
      <c r="W61">
        <v>49777768</v>
      </c>
      <c r="X61">
        <v>49777780</v>
      </c>
      <c r="Y61">
        <v>49777780</v>
      </c>
    </row>
    <row r="62" spans="2:25" x14ac:dyDescent="0.25">
      <c r="B62">
        <v>4264</v>
      </c>
      <c r="C62">
        <v>2089</v>
      </c>
      <c r="D62">
        <v>3938</v>
      </c>
      <c r="E62">
        <v>4771</v>
      </c>
      <c r="F62">
        <v>5413</v>
      </c>
      <c r="G62">
        <v>2716</v>
      </c>
      <c r="H62">
        <v>837</v>
      </c>
      <c r="I62">
        <v>269</v>
      </c>
      <c r="J62">
        <v>4124</v>
      </c>
      <c r="K62">
        <v>1004</v>
      </c>
      <c r="L62">
        <v>865</v>
      </c>
      <c r="M62">
        <v>1364</v>
      </c>
      <c r="N62">
        <v>49777780</v>
      </c>
      <c r="O62">
        <v>49777768</v>
      </c>
      <c r="P62">
        <v>49777780</v>
      </c>
      <c r="Q62">
        <v>49777780</v>
      </c>
      <c r="R62">
        <v>49777780</v>
      </c>
      <c r="S62">
        <v>49777768</v>
      </c>
      <c r="T62">
        <v>49777768</v>
      </c>
      <c r="U62">
        <v>49777768</v>
      </c>
      <c r="V62">
        <v>49777780</v>
      </c>
      <c r="W62">
        <v>49777768</v>
      </c>
      <c r="X62">
        <v>49777780</v>
      </c>
      <c r="Y62">
        <v>49777780</v>
      </c>
    </row>
    <row r="63" spans="2:25" x14ac:dyDescent="0.25">
      <c r="B63">
        <v>4032</v>
      </c>
      <c r="C63">
        <v>2136</v>
      </c>
      <c r="D63">
        <v>3948</v>
      </c>
      <c r="E63">
        <v>4894</v>
      </c>
      <c r="F63">
        <v>5425</v>
      </c>
      <c r="G63">
        <v>2879</v>
      </c>
      <c r="H63">
        <v>860</v>
      </c>
      <c r="I63">
        <v>263</v>
      </c>
      <c r="J63">
        <v>4104</v>
      </c>
      <c r="K63">
        <v>1008</v>
      </c>
      <c r="L63">
        <v>865</v>
      </c>
      <c r="M63">
        <v>1403</v>
      </c>
      <c r="N63">
        <v>49777780</v>
      </c>
      <c r="O63">
        <v>49777768</v>
      </c>
      <c r="P63">
        <v>49777780</v>
      </c>
      <c r="Q63">
        <v>49777780</v>
      </c>
      <c r="R63">
        <v>49777780</v>
      </c>
      <c r="S63">
        <v>49777768</v>
      </c>
      <c r="T63">
        <v>49777768</v>
      </c>
      <c r="U63">
        <v>49777768</v>
      </c>
      <c r="V63">
        <v>49777780</v>
      </c>
      <c r="W63">
        <v>49777768</v>
      </c>
      <c r="X63">
        <v>49777780</v>
      </c>
      <c r="Y63">
        <v>49777780</v>
      </c>
    </row>
    <row r="64" spans="2:25" x14ac:dyDescent="0.25">
      <c r="B64">
        <v>4142</v>
      </c>
      <c r="C64">
        <v>2089</v>
      </c>
      <c r="D64">
        <v>4111</v>
      </c>
      <c r="E64">
        <v>4791</v>
      </c>
      <c r="F64">
        <v>5548</v>
      </c>
      <c r="G64">
        <v>2691</v>
      </c>
      <c r="H64">
        <v>838</v>
      </c>
      <c r="I64">
        <v>274</v>
      </c>
      <c r="J64">
        <v>3972</v>
      </c>
      <c r="K64">
        <v>961</v>
      </c>
      <c r="L64">
        <v>881</v>
      </c>
      <c r="M64">
        <v>1399</v>
      </c>
      <c r="N64">
        <v>49777780</v>
      </c>
      <c r="O64">
        <v>49777768</v>
      </c>
      <c r="P64">
        <v>49777780</v>
      </c>
      <c r="Q64">
        <v>49777780</v>
      </c>
      <c r="R64">
        <v>49777780</v>
      </c>
      <c r="S64">
        <v>49777768</v>
      </c>
      <c r="T64">
        <v>49777768</v>
      </c>
      <c r="U64">
        <v>49777768</v>
      </c>
      <c r="V64">
        <v>49777780</v>
      </c>
      <c r="W64">
        <v>49777768</v>
      </c>
      <c r="X64">
        <v>49777780</v>
      </c>
      <c r="Y64">
        <v>49777780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10288</v>
      </c>
      <c r="C68">
        <v>4198</v>
      </c>
      <c r="D68">
        <v>8583</v>
      </c>
      <c r="E68">
        <v>9871</v>
      </c>
      <c r="F68">
        <v>7915</v>
      </c>
      <c r="G68">
        <v>4289</v>
      </c>
      <c r="H68">
        <v>1844</v>
      </c>
      <c r="I68">
        <v>555</v>
      </c>
      <c r="J68">
        <v>7821</v>
      </c>
      <c r="K68">
        <v>7006</v>
      </c>
      <c r="L68">
        <v>1805</v>
      </c>
      <c r="M68">
        <v>2888</v>
      </c>
    </row>
    <row r="69" spans="2:13" x14ac:dyDescent="0.25">
      <c r="B69">
        <v>10247</v>
      </c>
      <c r="C69">
        <v>4362</v>
      </c>
      <c r="D69">
        <v>8688</v>
      </c>
      <c r="E69">
        <v>10221</v>
      </c>
      <c r="F69">
        <v>7928</v>
      </c>
      <c r="G69">
        <v>4413</v>
      </c>
      <c r="H69">
        <v>1697</v>
      </c>
      <c r="I69">
        <v>555</v>
      </c>
      <c r="J69">
        <v>7835</v>
      </c>
      <c r="K69">
        <v>7059</v>
      </c>
      <c r="L69">
        <v>1773</v>
      </c>
      <c r="M69">
        <v>2967</v>
      </c>
    </row>
    <row r="70" spans="2:13" x14ac:dyDescent="0.25">
      <c r="B70">
        <v>9936</v>
      </c>
      <c r="C70">
        <v>4267</v>
      </c>
      <c r="D70">
        <v>8321</v>
      </c>
      <c r="E70">
        <v>10046</v>
      </c>
      <c r="F70">
        <v>7937</v>
      </c>
      <c r="G70">
        <v>4566</v>
      </c>
      <c r="H70">
        <v>1708</v>
      </c>
      <c r="I70">
        <v>550</v>
      </c>
      <c r="J70">
        <v>7810</v>
      </c>
      <c r="K70">
        <v>7245</v>
      </c>
      <c r="L70">
        <v>1892</v>
      </c>
      <c r="M70">
        <v>3144</v>
      </c>
    </row>
    <row r="71" spans="2:13" x14ac:dyDescent="0.25">
      <c r="B71">
        <v>10138</v>
      </c>
      <c r="C71">
        <v>4266</v>
      </c>
      <c r="D71">
        <v>8958</v>
      </c>
      <c r="E71">
        <v>10083</v>
      </c>
      <c r="F71">
        <v>7737</v>
      </c>
      <c r="G71">
        <v>4566</v>
      </c>
      <c r="H71">
        <v>1720</v>
      </c>
      <c r="I71">
        <v>489</v>
      </c>
      <c r="J71">
        <v>7881</v>
      </c>
      <c r="K71">
        <v>6676</v>
      </c>
      <c r="L71">
        <v>1852</v>
      </c>
      <c r="M71">
        <v>3060</v>
      </c>
    </row>
    <row r="72" spans="2:13" x14ac:dyDescent="0.25">
      <c r="B72">
        <v>10041</v>
      </c>
      <c r="C72">
        <v>4045</v>
      </c>
      <c r="D72">
        <v>8220</v>
      </c>
      <c r="E72">
        <v>9864</v>
      </c>
      <c r="F72">
        <v>7848</v>
      </c>
      <c r="G72">
        <v>4555</v>
      </c>
      <c r="H72">
        <v>1681</v>
      </c>
      <c r="I72">
        <v>501</v>
      </c>
      <c r="J72">
        <v>7970</v>
      </c>
      <c r="K72">
        <v>7182</v>
      </c>
      <c r="L72">
        <v>1737</v>
      </c>
      <c r="M72">
        <v>3103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2"/>
  <sheetViews>
    <sheetView workbookViewId="0">
      <selection activeCell="A51" sqref="A5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38</v>
      </c>
    </row>
    <row r="37" spans="2:17" x14ac:dyDescent="0.25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AVERAGE(Table27[Newtonsoft])</f>
        <v>9583.7999999999993</v>
      </c>
      <c r="D38" s="2">
        <f>AVERAGE(Table27[Revenj])</f>
        <v>9550.4</v>
      </c>
      <c r="E38" s="2">
        <f>AVERAGE(Table27[fastJSON])</f>
        <v>9092.2000000000007</v>
      </c>
      <c r="F38" s="2">
        <f>AVERAGE(Table27[Service Stack])</f>
        <v>9608.7999999999993</v>
      </c>
      <c r="G38" s="2">
        <f>AVERAGE(Table27[Jil])</f>
        <v>9265.7999999999993</v>
      </c>
      <c r="H38" s="2">
        <f>AVERAGE(Table27[NetJSON])</f>
        <v>9876.2000000000007</v>
      </c>
      <c r="I38" s="2">
        <f>AVERAGE(Table27[Jackson])</f>
        <v>723.4</v>
      </c>
      <c r="J38" s="2">
        <f>AVERAGE(Table27[DSL Platform Java])</f>
        <v>741.4</v>
      </c>
      <c r="K38" s="2">
        <f>AVERAGE(Table27[Genson])</f>
        <v>729.2</v>
      </c>
      <c r="L38" s="2">
        <f>AVERAGE(Table27[Boon])</f>
        <v>730.4</v>
      </c>
      <c r="M38" s="2">
        <f>AVERAGE(Table27[Alibaba])</f>
        <v>707</v>
      </c>
      <c r="N38" s="2">
        <f>AVERAGE(Table27[Gson])</f>
        <v>718.6</v>
      </c>
      <c r="O38" s="2"/>
      <c r="P38" s="2"/>
      <c r="Q38" s="2"/>
    </row>
    <row r="39" spans="2:17" x14ac:dyDescent="0.25">
      <c r="B39" t="s">
        <v>0</v>
      </c>
      <c r="C39" s="2">
        <f>AVERAGE(Table26[Newtonsoft]) - C38</f>
        <v>33366.600000000006</v>
      </c>
      <c r="D39" s="2">
        <f>AVERAGE(Table26[Revenj]) - D38</f>
        <v>10401.000000000002</v>
      </c>
      <c r="E39" s="2">
        <f>AVERAGE(Table26[fastJSON]) - E38</f>
        <v>28315.399999999998</v>
      </c>
      <c r="F39" s="2">
        <f>AVERAGE(Table26[Service Stack]) - F38</f>
        <v>35489.399999999994</v>
      </c>
      <c r="G39" s="2">
        <f>AVERAGE(Table26[Jil]) - G38</f>
        <v>41126.399999999994</v>
      </c>
      <c r="H39" s="2">
        <f>AVERAGE(Table26[NetJSON]) - H38</f>
        <v>13462.2</v>
      </c>
      <c r="I39" s="2">
        <f>AVERAGE(Table26[Jackson]) - I38</f>
        <v>4535</v>
      </c>
      <c r="J39" s="2">
        <f>AVERAGE(Table26[DSL Platform Java]) - J38</f>
        <v>1241.5999999999999</v>
      </c>
      <c r="K39" s="2">
        <f>AVERAGE(Table26[Genson]) - K38</f>
        <v>32114.799999999999</v>
      </c>
      <c r="L39" s="2">
        <f>AVERAGE(Table26[Boon]) - L38</f>
        <v>6257.8</v>
      </c>
      <c r="M39" s="2">
        <f>AVERAGE(Table26[Alibaba]) - M38</f>
        <v>4687.6000000000004</v>
      </c>
      <c r="N39" s="2">
        <f>AVERAGE(Table26[Gson]) - N38</f>
        <v>8569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56117.599999999991</v>
      </c>
      <c r="D40" s="2">
        <f t="shared" si="0"/>
        <v>21117.799999999996</v>
      </c>
      <c r="E40" s="2">
        <f t="shared" ref="E40" si="1">E41 - E39 - E38</f>
        <v>46793.000000000015</v>
      </c>
      <c r="F40" s="2">
        <f t="shared" si="0"/>
        <v>52497.600000000006</v>
      </c>
      <c r="G40" s="2">
        <f t="shared" si="0"/>
        <v>24779.400000000012</v>
      </c>
      <c r="H40" s="2">
        <f t="shared" si="0"/>
        <v>19672.599999999999</v>
      </c>
      <c r="I40" s="2">
        <f t="shared" ref="I40" si="2">I41 - I39 - I38</f>
        <v>5814</v>
      </c>
      <c r="J40" s="2">
        <f t="shared" ref="J40" si="3">J41 - J39 - J38</f>
        <v>2112.1999999999998</v>
      </c>
      <c r="K40" s="2">
        <f t="shared" ref="K40:L40" si="4">K41 - K39 - K38</f>
        <v>37398.800000000003</v>
      </c>
      <c r="L40" s="2">
        <f t="shared" si="4"/>
        <v>55622.999999999993</v>
      </c>
      <c r="M40" s="2">
        <f t="shared" ref="M40" si="5">M41 - M39 - M38</f>
        <v>6531</v>
      </c>
      <c r="N40" s="2">
        <f t="shared" ref="N40" si="6">N41 - N39 - N38</f>
        <v>13833.6</v>
      </c>
      <c r="O40" s="2"/>
      <c r="P40" s="2"/>
      <c r="Q40" s="2"/>
    </row>
    <row r="41" spans="2:17" x14ac:dyDescent="0.25">
      <c r="B41" t="s">
        <v>25</v>
      </c>
      <c r="C41" s="2">
        <f>AVERAGE(Table28[Newtonsoft])</f>
        <v>99068</v>
      </c>
      <c r="D41" s="2">
        <f>AVERAGE(Table28[Revenj])</f>
        <v>41069.199999999997</v>
      </c>
      <c r="E41" s="2">
        <f>AVERAGE(Table28[fastJSON])</f>
        <v>84200.6</v>
      </c>
      <c r="F41" s="2">
        <f>AVERAGE(Table28[Service Stack])</f>
        <v>97595.8</v>
      </c>
      <c r="G41" s="2">
        <f>AVERAGE(Table28[Jil])</f>
        <v>75171.600000000006</v>
      </c>
      <c r="H41" s="2">
        <f>AVERAGE(Table28[NetJSON])</f>
        <v>43011</v>
      </c>
      <c r="I41" s="2">
        <f>AVERAGE(Table28[Jackson])</f>
        <v>11072.4</v>
      </c>
      <c r="J41" s="2">
        <f>AVERAGE(Table28[DSL Platform Java])</f>
        <v>4095.2</v>
      </c>
      <c r="K41" s="2">
        <f>AVERAGE(Table28[Genson])</f>
        <v>70242.8</v>
      </c>
      <c r="L41" s="2">
        <f>AVERAGE(Table28[Boon])</f>
        <v>62611.199999999997</v>
      </c>
      <c r="M41" s="2">
        <f>AVERAGE(Table28[Alibaba])</f>
        <v>11925.6</v>
      </c>
      <c r="N41" s="2">
        <f>AVERAGE(Table28[Gson])</f>
        <v>23121.200000000001</v>
      </c>
      <c r="O41" s="2"/>
      <c r="P41" s="2"/>
      <c r="Q41" s="2"/>
    </row>
    <row r="42" spans="2:17" x14ac:dyDescent="0.25">
      <c r="B42" t="s">
        <v>4</v>
      </c>
      <c r="C42" s="3">
        <f>AVERAGE(Table26[Newtonsoft (size)])</f>
        <v>517777780</v>
      </c>
      <c r="D42" s="3">
        <f>AVERAGE(Table26[Revenj (size)])</f>
        <v>517777768</v>
      </c>
      <c r="E42" s="3">
        <f>AVERAGE(Table26[fastJSON (size)])</f>
        <v>517777780</v>
      </c>
      <c r="F42" s="3">
        <f>AVERAGE(Table26[Service Stack (size)])</f>
        <v>517777780</v>
      </c>
      <c r="G42" s="2">
        <f>AVERAGE(Table26[Jil (size)])</f>
        <v>517777780</v>
      </c>
      <c r="H42" s="2">
        <f>AVERAGE(Table26[NetJSON (size)])</f>
        <v>517777768</v>
      </c>
      <c r="I42" s="2">
        <f>AVERAGE(Table26[Jackson (size)])</f>
        <v>517777768</v>
      </c>
      <c r="J42" s="2">
        <f>AVERAGE(Table26[DSL Platform Java (size)])</f>
        <v>517777768</v>
      </c>
      <c r="K42" s="2">
        <f>AVERAGE(Table26[Genson (size)])</f>
        <v>517777780</v>
      </c>
      <c r="L42" s="2">
        <f>AVERAGE(Table26[Boon (size)])</f>
        <v>517777768</v>
      </c>
      <c r="M42" s="2">
        <f>AVERAGE(Table26[Alibaba (size)])</f>
        <v>517777780</v>
      </c>
      <c r="N42" s="2">
        <f>AVERAGE(Table26[Gson (size)])</f>
        <v>517777780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DEVSQ(Table26[Newtonsoft])</f>
        <v>2331695.1999999997</v>
      </c>
      <c r="D47" s="2">
        <f>DEVSQ(Table26[Revenj])</f>
        <v>1308349.2</v>
      </c>
      <c r="E47" s="2">
        <f>DEVSQ(Table26[fastJSON])</f>
        <v>4473137.2</v>
      </c>
      <c r="F47" s="2">
        <f>DEVSQ(Table26[Service Stack])</f>
        <v>2655212.7999999998</v>
      </c>
      <c r="G47" s="2">
        <f>DEVSQ(Table26[Jil])</f>
        <v>3356654.8</v>
      </c>
      <c r="H47" s="2">
        <f>DEVSQ(Table26[NetJSON])</f>
        <v>1972357.2</v>
      </c>
      <c r="I47" s="2">
        <f>DEVSQ(Table26[Jackson])</f>
        <v>167379.20000000001</v>
      </c>
      <c r="J47" s="2">
        <f>DEVSQ(Table26[DSL Platform Java])</f>
        <v>3818</v>
      </c>
      <c r="K47" s="2">
        <f>DEVSQ(Table26[Genson])</f>
        <v>83846</v>
      </c>
      <c r="L47" s="2">
        <f>DEVSQ(Table26[Boon])</f>
        <v>154306.79999999999</v>
      </c>
      <c r="M47" s="2">
        <f>DEVSQ(Table26[Alibaba])</f>
        <v>30369.200000000001</v>
      </c>
      <c r="N47" s="2">
        <f>DEVSQ(Table26[Gson])</f>
        <v>430841.19999999995</v>
      </c>
      <c r="O47" s="2"/>
      <c r="P47" s="2"/>
      <c r="Q47" s="2"/>
    </row>
    <row r="48" spans="2:17" x14ac:dyDescent="0.25">
      <c r="B48" t="s">
        <v>25</v>
      </c>
      <c r="C48" s="2">
        <f>DEVSQ(Table28[Newtonsoft])</f>
        <v>28558924</v>
      </c>
      <c r="D48" s="2">
        <f>DEVSQ(Table28[Revenj])</f>
        <v>2084582.7999999998</v>
      </c>
      <c r="E48" s="2">
        <f>DEVSQ(Table28[fastJSON])</f>
        <v>11484925.199999999</v>
      </c>
      <c r="F48" s="2">
        <f>DEVSQ(Table28[Service Stack])</f>
        <v>12308684.800000001</v>
      </c>
      <c r="G48" s="2">
        <f>DEVSQ(Table28[Jil])</f>
        <v>5530003.2000000011</v>
      </c>
      <c r="H48" s="2">
        <f>DEVSQ(Table28[NetJSON])</f>
        <v>4863116</v>
      </c>
      <c r="I48" s="2">
        <f>DEVSQ(Table28[Jackson])</f>
        <v>795813.2</v>
      </c>
      <c r="J48" s="2">
        <f>DEVSQ(Table28[DSL Platform Java])</f>
        <v>4390.8</v>
      </c>
      <c r="K48" s="2">
        <f>DEVSQ(Table28[Genson])</f>
        <v>790722.79999999993</v>
      </c>
      <c r="L48" s="2">
        <f>DEVSQ(Table28[Boon])</f>
        <v>4832808.8</v>
      </c>
      <c r="M48" s="2">
        <f>DEVSQ(Table28[Alibaba])</f>
        <v>1334413.2</v>
      </c>
      <c r="N48" s="2">
        <f>DEVSQ(Table28[Gson])</f>
        <v>12341984.800000001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9418</v>
      </c>
      <c r="C52">
        <v>9356</v>
      </c>
      <c r="D52">
        <v>9024</v>
      </c>
      <c r="E52">
        <v>9037</v>
      </c>
      <c r="F52">
        <v>9056</v>
      </c>
      <c r="G52">
        <v>10139</v>
      </c>
      <c r="H52">
        <v>728</v>
      </c>
      <c r="I52">
        <v>759</v>
      </c>
      <c r="J52">
        <v>736</v>
      </c>
      <c r="K52">
        <v>742</v>
      </c>
      <c r="L52">
        <v>716</v>
      </c>
      <c r="M52">
        <v>707</v>
      </c>
    </row>
    <row r="53" spans="2:25" x14ac:dyDescent="0.25">
      <c r="B53">
        <v>9399</v>
      </c>
      <c r="C53">
        <v>9443</v>
      </c>
      <c r="D53">
        <v>9344</v>
      </c>
      <c r="E53">
        <v>9799</v>
      </c>
      <c r="F53">
        <v>8774</v>
      </c>
      <c r="G53">
        <v>9550</v>
      </c>
      <c r="H53">
        <v>726</v>
      </c>
      <c r="I53">
        <v>744</v>
      </c>
      <c r="J53">
        <v>709</v>
      </c>
      <c r="K53">
        <v>670</v>
      </c>
      <c r="L53">
        <v>726</v>
      </c>
      <c r="M53">
        <v>684</v>
      </c>
    </row>
    <row r="54" spans="2:25" x14ac:dyDescent="0.25">
      <c r="B54">
        <v>9816</v>
      </c>
      <c r="C54">
        <v>9508</v>
      </c>
      <c r="D54">
        <v>8882</v>
      </c>
      <c r="E54">
        <v>8658</v>
      </c>
      <c r="F54">
        <v>10027</v>
      </c>
      <c r="G54">
        <v>10055</v>
      </c>
      <c r="H54">
        <v>720</v>
      </c>
      <c r="I54">
        <v>720</v>
      </c>
      <c r="J54">
        <v>712</v>
      </c>
      <c r="K54">
        <v>741</v>
      </c>
      <c r="L54">
        <v>686</v>
      </c>
      <c r="M54">
        <v>747</v>
      </c>
    </row>
    <row r="55" spans="2:25" x14ac:dyDescent="0.25">
      <c r="B55">
        <v>9428</v>
      </c>
      <c r="C55">
        <v>10099</v>
      </c>
      <c r="D55">
        <v>9217</v>
      </c>
      <c r="E55">
        <v>11252</v>
      </c>
      <c r="F55">
        <v>9069</v>
      </c>
      <c r="G55">
        <v>9618</v>
      </c>
      <c r="H55">
        <v>735</v>
      </c>
      <c r="I55">
        <v>752</v>
      </c>
      <c r="J55">
        <v>765</v>
      </c>
      <c r="K55">
        <v>724</v>
      </c>
      <c r="L55">
        <v>732</v>
      </c>
      <c r="M55">
        <v>768</v>
      </c>
    </row>
    <row r="56" spans="2:25" x14ac:dyDescent="0.25">
      <c r="B56">
        <v>9858</v>
      </c>
      <c r="C56">
        <v>9346</v>
      </c>
      <c r="D56">
        <v>8994</v>
      </c>
      <c r="E56">
        <v>9298</v>
      </c>
      <c r="F56">
        <v>9403</v>
      </c>
      <c r="G56">
        <v>10019</v>
      </c>
      <c r="H56">
        <v>708</v>
      </c>
      <c r="I56">
        <v>732</v>
      </c>
      <c r="J56">
        <v>724</v>
      </c>
      <c r="K56">
        <v>775</v>
      </c>
      <c r="L56">
        <v>675</v>
      </c>
      <c r="M56">
        <v>687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43537</v>
      </c>
      <c r="C60">
        <v>19964</v>
      </c>
      <c r="D60">
        <v>36581</v>
      </c>
      <c r="E60">
        <v>45073</v>
      </c>
      <c r="F60">
        <v>51562</v>
      </c>
      <c r="G60">
        <v>23806</v>
      </c>
      <c r="H60">
        <v>5123</v>
      </c>
      <c r="I60">
        <v>2027</v>
      </c>
      <c r="J60">
        <v>32771</v>
      </c>
      <c r="K60">
        <v>7047</v>
      </c>
      <c r="L60">
        <v>5463</v>
      </c>
      <c r="M60">
        <v>8900</v>
      </c>
      <c r="N60">
        <v>517777780</v>
      </c>
      <c r="O60">
        <v>517777768</v>
      </c>
      <c r="P60">
        <v>517777780</v>
      </c>
      <c r="Q60">
        <v>517777780</v>
      </c>
      <c r="R60">
        <v>517777780</v>
      </c>
      <c r="S60">
        <v>517777768</v>
      </c>
      <c r="T60">
        <v>517777768</v>
      </c>
      <c r="U60">
        <v>517777768</v>
      </c>
      <c r="V60">
        <v>517777780</v>
      </c>
      <c r="W60">
        <v>517777768</v>
      </c>
      <c r="X60">
        <v>517777780</v>
      </c>
      <c r="Y60">
        <v>517777780</v>
      </c>
    </row>
    <row r="61" spans="2:25" x14ac:dyDescent="0.25">
      <c r="B61">
        <v>43755</v>
      </c>
      <c r="C61">
        <v>20273</v>
      </c>
      <c r="D61">
        <v>35970</v>
      </c>
      <c r="E61">
        <v>45621</v>
      </c>
      <c r="F61">
        <v>50437</v>
      </c>
      <c r="G61">
        <v>23158</v>
      </c>
      <c r="H61">
        <v>5550</v>
      </c>
      <c r="I61">
        <v>1970</v>
      </c>
      <c r="J61">
        <v>32755</v>
      </c>
      <c r="K61">
        <v>6884</v>
      </c>
      <c r="L61">
        <v>5318</v>
      </c>
      <c r="M61">
        <v>9739</v>
      </c>
      <c r="N61">
        <v>517777780</v>
      </c>
      <c r="O61">
        <v>517777768</v>
      </c>
      <c r="P61">
        <v>517777780</v>
      </c>
      <c r="Q61">
        <v>517777780</v>
      </c>
      <c r="R61">
        <v>517777780</v>
      </c>
      <c r="S61">
        <v>517777768</v>
      </c>
      <c r="T61">
        <v>517777768</v>
      </c>
      <c r="U61">
        <v>517777768</v>
      </c>
      <c r="V61">
        <v>517777780</v>
      </c>
      <c r="W61">
        <v>517777768</v>
      </c>
      <c r="X61">
        <v>517777780</v>
      </c>
      <c r="Y61">
        <v>517777780</v>
      </c>
    </row>
    <row r="62" spans="2:25" x14ac:dyDescent="0.25">
      <c r="B62">
        <v>43079</v>
      </c>
      <c r="C62">
        <v>20263</v>
      </c>
      <c r="D62">
        <v>38218</v>
      </c>
      <c r="E62">
        <v>46085</v>
      </c>
      <c r="F62">
        <v>50867</v>
      </c>
      <c r="G62">
        <v>22381</v>
      </c>
      <c r="H62">
        <v>5389</v>
      </c>
      <c r="I62">
        <v>1955</v>
      </c>
      <c r="J62">
        <v>33096</v>
      </c>
      <c r="K62">
        <v>6845</v>
      </c>
      <c r="L62">
        <v>5511</v>
      </c>
      <c r="M62">
        <v>9042</v>
      </c>
      <c r="N62">
        <v>517777780</v>
      </c>
      <c r="O62">
        <v>517777768</v>
      </c>
      <c r="P62">
        <v>517777780</v>
      </c>
      <c r="Q62">
        <v>517777780</v>
      </c>
      <c r="R62">
        <v>517777780</v>
      </c>
      <c r="S62">
        <v>517777768</v>
      </c>
      <c r="T62">
        <v>517777768</v>
      </c>
      <c r="U62">
        <v>517777768</v>
      </c>
      <c r="V62">
        <v>517777780</v>
      </c>
      <c r="W62">
        <v>517777768</v>
      </c>
      <c r="X62">
        <v>517777780</v>
      </c>
      <c r="Y62">
        <v>517777780</v>
      </c>
    </row>
    <row r="63" spans="2:25" x14ac:dyDescent="0.25">
      <c r="B63">
        <v>41900</v>
      </c>
      <c r="C63">
        <v>18958</v>
      </c>
      <c r="D63">
        <v>38065</v>
      </c>
      <c r="E63">
        <v>44747</v>
      </c>
      <c r="F63">
        <v>49956</v>
      </c>
      <c r="G63">
        <v>23135</v>
      </c>
      <c r="H63">
        <v>5061</v>
      </c>
      <c r="I63">
        <v>2003</v>
      </c>
      <c r="J63">
        <v>32838</v>
      </c>
      <c r="K63">
        <v>6857</v>
      </c>
      <c r="L63">
        <v>5355</v>
      </c>
      <c r="M63">
        <v>9379</v>
      </c>
      <c r="N63">
        <v>517777780</v>
      </c>
      <c r="O63">
        <v>517777768</v>
      </c>
      <c r="P63">
        <v>517777780</v>
      </c>
      <c r="Q63">
        <v>517777780</v>
      </c>
      <c r="R63">
        <v>517777780</v>
      </c>
      <c r="S63">
        <v>517777768</v>
      </c>
      <c r="T63">
        <v>517777768</v>
      </c>
      <c r="U63">
        <v>517777768</v>
      </c>
      <c r="V63">
        <v>517777780</v>
      </c>
      <c r="W63">
        <v>517777768</v>
      </c>
      <c r="X63">
        <v>517777780</v>
      </c>
      <c r="Y63">
        <v>517777780</v>
      </c>
    </row>
    <row r="64" spans="2:25" x14ac:dyDescent="0.25">
      <c r="B64">
        <v>42481</v>
      </c>
      <c r="C64">
        <v>20299</v>
      </c>
      <c r="D64">
        <v>38204</v>
      </c>
      <c r="E64">
        <v>43965</v>
      </c>
      <c r="F64">
        <v>49139</v>
      </c>
      <c r="G64">
        <v>24212</v>
      </c>
      <c r="H64">
        <v>5169</v>
      </c>
      <c r="I64">
        <v>1960</v>
      </c>
      <c r="J64">
        <v>32760</v>
      </c>
      <c r="K64">
        <v>7308</v>
      </c>
      <c r="L64">
        <v>5326</v>
      </c>
      <c r="M64">
        <v>9378</v>
      </c>
      <c r="N64">
        <v>517777780</v>
      </c>
      <c r="O64">
        <v>517777768</v>
      </c>
      <c r="P64">
        <v>517777780</v>
      </c>
      <c r="Q64">
        <v>517777780</v>
      </c>
      <c r="R64">
        <v>517777780</v>
      </c>
      <c r="S64">
        <v>517777768</v>
      </c>
      <c r="T64">
        <v>517777768</v>
      </c>
      <c r="U64">
        <v>517777768</v>
      </c>
      <c r="V64">
        <v>517777780</v>
      </c>
      <c r="W64">
        <v>517777768</v>
      </c>
      <c r="X64">
        <v>517777780</v>
      </c>
      <c r="Y64">
        <v>517777780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96789</v>
      </c>
      <c r="C68">
        <v>40434</v>
      </c>
      <c r="D68">
        <v>83995</v>
      </c>
      <c r="E68">
        <v>96938</v>
      </c>
      <c r="F68">
        <v>74052</v>
      </c>
      <c r="G68">
        <v>43780</v>
      </c>
      <c r="H68">
        <v>11229</v>
      </c>
      <c r="I68">
        <v>4043</v>
      </c>
      <c r="J68">
        <v>70163</v>
      </c>
      <c r="K68">
        <v>62177</v>
      </c>
      <c r="L68">
        <v>12220</v>
      </c>
      <c r="M68">
        <v>22477</v>
      </c>
    </row>
    <row r="69" spans="2:13" x14ac:dyDescent="0.25">
      <c r="B69">
        <v>100149</v>
      </c>
      <c r="C69">
        <v>41214</v>
      </c>
      <c r="D69">
        <v>84838</v>
      </c>
      <c r="E69">
        <v>99620</v>
      </c>
      <c r="F69">
        <v>75399</v>
      </c>
      <c r="G69">
        <v>42174</v>
      </c>
      <c r="H69">
        <v>11286</v>
      </c>
      <c r="I69">
        <v>4102</v>
      </c>
      <c r="J69">
        <v>70112</v>
      </c>
      <c r="K69">
        <v>64403</v>
      </c>
      <c r="L69">
        <v>11673</v>
      </c>
      <c r="M69">
        <v>23097</v>
      </c>
    </row>
    <row r="70" spans="2:13" x14ac:dyDescent="0.25">
      <c r="B70">
        <v>103157</v>
      </c>
      <c r="C70">
        <v>41714</v>
      </c>
      <c r="D70">
        <v>86288</v>
      </c>
      <c r="E70">
        <v>99252</v>
      </c>
      <c r="F70">
        <v>73847</v>
      </c>
      <c r="G70">
        <v>41780</v>
      </c>
      <c r="H70">
        <v>10739</v>
      </c>
      <c r="I70">
        <v>4108</v>
      </c>
      <c r="J70">
        <v>70992</v>
      </c>
      <c r="K70">
        <v>62465</v>
      </c>
      <c r="L70">
        <v>12744</v>
      </c>
      <c r="M70">
        <v>22243</v>
      </c>
    </row>
    <row r="71" spans="2:13" x14ac:dyDescent="0.25">
      <c r="B71">
        <v>96817</v>
      </c>
      <c r="C71">
        <v>40207</v>
      </c>
      <c r="D71">
        <v>81617</v>
      </c>
      <c r="E71">
        <v>96568</v>
      </c>
      <c r="F71">
        <v>76361</v>
      </c>
      <c r="G71">
        <v>42882</v>
      </c>
      <c r="H71">
        <v>11608</v>
      </c>
      <c r="I71">
        <v>4133</v>
      </c>
      <c r="J71">
        <v>70148</v>
      </c>
      <c r="K71">
        <v>62588</v>
      </c>
      <c r="L71">
        <v>11764</v>
      </c>
      <c r="M71">
        <v>21663</v>
      </c>
    </row>
    <row r="72" spans="2:13" x14ac:dyDescent="0.25">
      <c r="B72">
        <v>98428</v>
      </c>
      <c r="C72">
        <v>41777</v>
      </c>
      <c r="D72">
        <v>84265</v>
      </c>
      <c r="E72">
        <v>95601</v>
      </c>
      <c r="F72">
        <v>76199</v>
      </c>
      <c r="G72">
        <v>44439</v>
      </c>
      <c r="H72">
        <v>10500</v>
      </c>
      <c r="I72">
        <v>4090</v>
      </c>
      <c r="J72">
        <v>69799</v>
      </c>
      <c r="K72">
        <v>61423</v>
      </c>
      <c r="L72">
        <v>11227</v>
      </c>
      <c r="M72">
        <v>26126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2"/>
  <sheetViews>
    <sheetView workbookViewId="0">
      <selection activeCell="A51" sqref="A5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39</v>
      </c>
    </row>
    <row r="37" spans="2:17" x14ac:dyDescent="0.25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AVERAGE(Table32[Newtonsoft])</f>
        <v>73.400000000000006</v>
      </c>
      <c r="D38" s="2">
        <f>AVERAGE(Table32[Revenj])</f>
        <v>74.2</v>
      </c>
      <c r="E38" s="2">
        <f>AVERAGE(Table32[fastJSON])</f>
        <v>73.8</v>
      </c>
      <c r="F38" s="2">
        <f>AVERAGE(Table32[Service Stack])</f>
        <v>76.2</v>
      </c>
      <c r="G38" s="2">
        <f>AVERAGE(Table32[Jil])</f>
        <v>73.599999999999994</v>
      </c>
      <c r="H38" s="2">
        <f>AVERAGE(Table32[NetJSON])</f>
        <v>73.8</v>
      </c>
      <c r="I38" s="2">
        <f>AVERAGE(Table32[Jackson])</f>
        <v>73.2</v>
      </c>
      <c r="J38" s="2">
        <f>AVERAGE(Table32[DSL Platform Java])</f>
        <v>68.2</v>
      </c>
      <c r="K38" s="2">
        <f>AVERAGE(Table32[Genson])</f>
        <v>72</v>
      </c>
      <c r="L38" s="2">
        <f>AVERAGE(Table32[Boon])</f>
        <v>75</v>
      </c>
      <c r="M38" s="2">
        <f>AVERAGE(Table32[Alibaba])</f>
        <v>69.599999999999994</v>
      </c>
      <c r="N38" s="2">
        <f>AVERAGE(Table32[Gson])</f>
        <v>71.8</v>
      </c>
      <c r="O38" s="2"/>
      <c r="P38" s="2"/>
      <c r="Q38" s="2"/>
    </row>
    <row r="39" spans="2:17" x14ac:dyDescent="0.25">
      <c r="B39" t="s">
        <v>0</v>
      </c>
      <c r="C39" s="2">
        <f>AVERAGE(Table31[Newtonsoft]) - C38</f>
        <v>589.6</v>
      </c>
      <c r="D39" s="2">
        <f>AVERAGE(Table31[Revenj]) - D38</f>
        <v>188.8</v>
      </c>
      <c r="E39" s="2">
        <f>AVERAGE(Table31[fastJSON]) - E38</f>
        <v>407.8</v>
      </c>
      <c r="F39" s="2">
        <f>AVERAGE(Table31[Service Stack]) - F38</f>
        <v>491.8</v>
      </c>
      <c r="G39" s="2">
        <f>AVERAGE(Table31[Jil]) - G38</f>
        <v>496.19999999999993</v>
      </c>
      <c r="H39" s="2">
        <f>AVERAGE(Table31[NetJSON]) - H38</f>
        <v>199.59999999999997</v>
      </c>
      <c r="I39" s="2">
        <f>AVERAGE(Table31[Jackson]) - I38</f>
        <v>195.8</v>
      </c>
      <c r="J39" s="2">
        <f>AVERAGE(Table31[DSL Platform Java]) - J38</f>
        <v>104.2</v>
      </c>
      <c r="K39" s="2">
        <f>AVERAGE(Table31[Genson]) - K38</f>
        <v>525.79999999999995</v>
      </c>
      <c r="L39" s="2">
        <f>AVERAGE(Table31[Boon]) - L38</f>
        <v>317.8</v>
      </c>
      <c r="M39" s="2">
        <f>AVERAGE(Table31[Alibaba]) - M38</f>
        <v>211.00000000000003</v>
      </c>
      <c r="N39" s="2">
        <f>AVERAGE(Table31[Gson]) - N38</f>
        <v>232.39999999999998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902</v>
      </c>
      <c r="D40" s="2">
        <f t="shared" si="0"/>
        <v>231.60000000000002</v>
      </c>
      <c r="E40" s="2">
        <f t="shared" ref="E40" si="1">E41 - E39 - E38</f>
        <v>817.80000000000018</v>
      </c>
      <c r="F40" s="2">
        <f t="shared" si="0"/>
        <v>676.59999999999991</v>
      </c>
      <c r="G40" s="2">
        <f t="shared" si="0"/>
        <v>264.40000000000009</v>
      </c>
      <c r="H40" s="2">
        <f t="shared" si="0"/>
        <v>219.8</v>
      </c>
      <c r="I40" s="2">
        <f t="shared" ref="I40" si="2">I41 - I39 - I38</f>
        <v>255.60000000000002</v>
      </c>
      <c r="J40" s="2">
        <f t="shared" ref="J40" si="3">J41 - J39 - J38</f>
        <v>65.999999999999986</v>
      </c>
      <c r="K40" s="2">
        <f t="shared" ref="K40:L40" si="4">K41 - K39 - K38</f>
        <v>531</v>
      </c>
      <c r="L40" s="2">
        <f t="shared" si="4"/>
        <v>679.2</v>
      </c>
      <c r="M40" s="2">
        <f t="shared" ref="M40" si="5">M41 - M39 - M38</f>
        <v>243.00000000000003</v>
      </c>
      <c r="N40" s="2">
        <f t="shared" ref="N40" si="6">N41 - N39 - N38</f>
        <v>303.2</v>
      </c>
      <c r="O40" s="2"/>
      <c r="P40" s="2"/>
      <c r="Q40" s="2"/>
    </row>
    <row r="41" spans="2:17" x14ac:dyDescent="0.25">
      <c r="B41" t="s">
        <v>25</v>
      </c>
      <c r="C41" s="2">
        <f>AVERAGE(Table33[Newtonsoft])</f>
        <v>1565</v>
      </c>
      <c r="D41" s="2">
        <f>AVERAGE(Table33[Revenj])</f>
        <v>494.6</v>
      </c>
      <c r="E41" s="2">
        <f>AVERAGE(Table33[fastJSON])</f>
        <v>1299.4000000000001</v>
      </c>
      <c r="F41" s="2">
        <f>AVERAGE(Table33[Service Stack])</f>
        <v>1244.5999999999999</v>
      </c>
      <c r="G41" s="2">
        <f>AVERAGE(Table33[Jil])</f>
        <v>834.2</v>
      </c>
      <c r="H41" s="2">
        <f>AVERAGE(Table33[NetJSON])</f>
        <v>493.2</v>
      </c>
      <c r="I41" s="2">
        <f>AVERAGE(Table33[Jackson])</f>
        <v>524.6</v>
      </c>
      <c r="J41" s="2">
        <f>AVERAGE(Table33[DSL Platform Java])</f>
        <v>238.4</v>
      </c>
      <c r="K41" s="2">
        <f>AVERAGE(Table33[Genson])</f>
        <v>1128.8</v>
      </c>
      <c r="L41" s="2">
        <f>AVERAGE(Table33[Boon])</f>
        <v>1072</v>
      </c>
      <c r="M41" s="2">
        <f>AVERAGE(Table33[Alibaba])</f>
        <v>523.6</v>
      </c>
      <c r="N41" s="2">
        <f>AVERAGE(Table33[Gson])</f>
        <v>607.4</v>
      </c>
      <c r="O41" s="2"/>
      <c r="P41" s="2"/>
      <c r="Q41" s="2"/>
    </row>
    <row r="42" spans="2:17" x14ac:dyDescent="0.25">
      <c r="B42" t="s">
        <v>4</v>
      </c>
      <c r="C42" s="3">
        <f>AVERAGE(Table31[Newtonsoft (size)])</f>
        <v>3346889</v>
      </c>
      <c r="D42" s="3">
        <f>AVERAGE(Table31[Revenj (size)])</f>
        <v>3346472</v>
      </c>
      <c r="E42" s="3">
        <f>AVERAGE(Table31[fastJSON (size)])</f>
        <v>3346489</v>
      </c>
      <c r="F42" s="3">
        <f>AVERAGE(Table31[Service Stack (size)])</f>
        <v>3346489</v>
      </c>
      <c r="G42" s="2">
        <f>AVERAGE(Table31[Jil (size)])</f>
        <v>3346489</v>
      </c>
      <c r="H42" s="2">
        <f>AVERAGE(Table31[NetJSON (size)])</f>
        <v>3346472</v>
      </c>
      <c r="I42" s="2">
        <f>AVERAGE(Table31[Jackson (size)])</f>
        <v>3346883</v>
      </c>
      <c r="J42" s="2">
        <f>AVERAGE(Table31[DSL Platform Java (size)])</f>
        <v>3346868</v>
      </c>
      <c r="K42" s="2">
        <f>AVERAGE(Table31[Genson (size)])</f>
        <v>3346889</v>
      </c>
      <c r="L42" s="2">
        <f>AVERAGE(Table31[Boon (size)])</f>
        <v>3346875</v>
      </c>
      <c r="M42" s="2">
        <f>AVERAGE(Table31[Alibaba (size)])</f>
        <v>3346689</v>
      </c>
      <c r="N42" s="2">
        <f>AVERAGE(Table31[Gson (size)])</f>
        <v>3346889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DEVSQ(Table31[Newtonsoft])</f>
        <v>230</v>
      </c>
      <c r="D47" s="2">
        <f>DEVSQ(Table31[Revenj])</f>
        <v>76</v>
      </c>
      <c r="E47" s="2">
        <f>DEVSQ(Table31[fastJSON])</f>
        <v>1151.1999999999998</v>
      </c>
      <c r="F47" s="2">
        <f>DEVSQ(Table31[Service Stack])</f>
        <v>346</v>
      </c>
      <c r="G47" s="2">
        <f>DEVSQ(Table31[Jil])</f>
        <v>446.8</v>
      </c>
      <c r="H47" s="2">
        <f>DEVSQ(Table31[NetJSON])</f>
        <v>243.2</v>
      </c>
      <c r="I47" s="2">
        <f>DEVSQ(Table31[Jackson])</f>
        <v>3146</v>
      </c>
      <c r="J47" s="2">
        <f>DEVSQ(Table31[DSL Platform Java])</f>
        <v>63.2</v>
      </c>
      <c r="K47" s="2">
        <f>DEVSQ(Table31[Genson])</f>
        <v>1148.8</v>
      </c>
      <c r="L47" s="2">
        <f>DEVSQ(Table31[Boon])</f>
        <v>4130.8</v>
      </c>
      <c r="M47" s="2">
        <f>DEVSQ(Table31[Alibaba])</f>
        <v>215.19999999999993</v>
      </c>
      <c r="N47" s="2">
        <f>DEVSQ(Table31[Gson])</f>
        <v>634.79999999999995</v>
      </c>
      <c r="O47" s="2"/>
      <c r="P47" s="2"/>
      <c r="Q47" s="2"/>
    </row>
    <row r="48" spans="2:17" x14ac:dyDescent="0.25">
      <c r="B48" t="s">
        <v>25</v>
      </c>
      <c r="C48" s="2">
        <f>DEVSQ(Table33[Newtonsoft])</f>
        <v>3036</v>
      </c>
      <c r="D48" s="2">
        <f>DEVSQ(Table33[Revenj])</f>
        <v>287.19999999999993</v>
      </c>
      <c r="E48" s="2">
        <f>DEVSQ(Table33[fastJSON])</f>
        <v>1599.2</v>
      </c>
      <c r="F48" s="2">
        <f>DEVSQ(Table33[Service Stack])</f>
        <v>1473.2</v>
      </c>
      <c r="G48" s="2">
        <f>DEVSQ(Table33[Jil])</f>
        <v>1000.8</v>
      </c>
      <c r="H48" s="2">
        <f>DEVSQ(Table33[NetJSON])</f>
        <v>276.79999999999995</v>
      </c>
      <c r="I48" s="2">
        <f>DEVSQ(Table33[Jackson])</f>
        <v>6383.2</v>
      </c>
      <c r="J48" s="2">
        <f>DEVSQ(Table33[DSL Platform Java])</f>
        <v>871.2</v>
      </c>
      <c r="K48" s="2">
        <f>DEVSQ(Table33[Genson])</f>
        <v>10238.799999999999</v>
      </c>
      <c r="L48" s="2">
        <f>DEVSQ(Table33[Boon])</f>
        <v>18114</v>
      </c>
      <c r="M48" s="2">
        <f>DEVSQ(Table33[Alibaba])</f>
        <v>4485.2</v>
      </c>
      <c r="N48" s="2">
        <f>DEVSQ(Table33[Gson])</f>
        <v>4779.2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77</v>
      </c>
      <c r="C52">
        <v>73</v>
      </c>
      <c r="D52">
        <v>77</v>
      </c>
      <c r="E52">
        <v>72</v>
      </c>
      <c r="F52">
        <v>73</v>
      </c>
      <c r="G52">
        <v>73</v>
      </c>
      <c r="H52">
        <v>68</v>
      </c>
      <c r="I52">
        <v>68</v>
      </c>
      <c r="J52">
        <v>76</v>
      </c>
      <c r="K52">
        <v>70</v>
      </c>
      <c r="L52">
        <v>71</v>
      </c>
      <c r="M52">
        <v>68</v>
      </c>
    </row>
    <row r="53" spans="2:25" x14ac:dyDescent="0.25">
      <c r="B53">
        <v>70</v>
      </c>
      <c r="C53">
        <v>72</v>
      </c>
      <c r="D53">
        <v>76</v>
      </c>
      <c r="E53">
        <v>80</v>
      </c>
      <c r="F53">
        <v>74</v>
      </c>
      <c r="G53">
        <v>72</v>
      </c>
      <c r="H53">
        <v>80</v>
      </c>
      <c r="I53">
        <v>69</v>
      </c>
      <c r="J53">
        <v>73</v>
      </c>
      <c r="K53">
        <v>77</v>
      </c>
      <c r="L53">
        <v>71</v>
      </c>
      <c r="M53">
        <v>76</v>
      </c>
    </row>
    <row r="54" spans="2:25" x14ac:dyDescent="0.25">
      <c r="B54">
        <v>72</v>
      </c>
      <c r="C54">
        <v>72</v>
      </c>
      <c r="D54">
        <v>71</v>
      </c>
      <c r="E54">
        <v>74</v>
      </c>
      <c r="F54">
        <v>77</v>
      </c>
      <c r="G54">
        <v>74</v>
      </c>
      <c r="H54">
        <v>72</v>
      </c>
      <c r="I54">
        <v>68</v>
      </c>
      <c r="J54">
        <v>68</v>
      </c>
      <c r="K54">
        <v>78</v>
      </c>
      <c r="L54">
        <v>68</v>
      </c>
      <c r="M54">
        <v>77</v>
      </c>
    </row>
    <row r="55" spans="2:25" x14ac:dyDescent="0.25">
      <c r="B55">
        <v>73</v>
      </c>
      <c r="C55">
        <v>79</v>
      </c>
      <c r="D55">
        <v>70</v>
      </c>
      <c r="E55">
        <v>75</v>
      </c>
      <c r="F55">
        <v>71</v>
      </c>
      <c r="G55">
        <v>76</v>
      </c>
      <c r="H55">
        <v>71</v>
      </c>
      <c r="I55">
        <v>69</v>
      </c>
      <c r="J55">
        <v>71</v>
      </c>
      <c r="K55">
        <v>81</v>
      </c>
      <c r="L55">
        <v>71</v>
      </c>
      <c r="M55">
        <v>67</v>
      </c>
    </row>
    <row r="56" spans="2:25" x14ac:dyDescent="0.25">
      <c r="B56">
        <v>75</v>
      </c>
      <c r="C56">
        <v>75</v>
      </c>
      <c r="D56">
        <v>75</v>
      </c>
      <c r="E56">
        <v>80</v>
      </c>
      <c r="F56">
        <v>73</v>
      </c>
      <c r="G56">
        <v>74</v>
      </c>
      <c r="H56">
        <v>75</v>
      </c>
      <c r="I56">
        <v>67</v>
      </c>
      <c r="J56">
        <v>72</v>
      </c>
      <c r="K56">
        <v>69</v>
      </c>
      <c r="L56">
        <v>67</v>
      </c>
      <c r="M56">
        <v>71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662</v>
      </c>
      <c r="C60">
        <v>266</v>
      </c>
      <c r="D60">
        <v>497</v>
      </c>
      <c r="E60">
        <v>555</v>
      </c>
      <c r="F60">
        <v>564</v>
      </c>
      <c r="G60">
        <v>281</v>
      </c>
      <c r="H60">
        <v>244</v>
      </c>
      <c r="I60">
        <v>173</v>
      </c>
      <c r="J60">
        <v>579</v>
      </c>
      <c r="K60">
        <v>388</v>
      </c>
      <c r="L60">
        <v>282</v>
      </c>
      <c r="M60">
        <v>313</v>
      </c>
      <c r="N60">
        <v>3346889</v>
      </c>
      <c r="O60">
        <v>3346472</v>
      </c>
      <c r="P60">
        <v>3346489</v>
      </c>
      <c r="Q60">
        <v>3346489</v>
      </c>
      <c r="R60">
        <v>3346489</v>
      </c>
      <c r="S60">
        <v>3346472</v>
      </c>
      <c r="T60">
        <v>3346883</v>
      </c>
      <c r="U60">
        <v>3346868</v>
      </c>
      <c r="V60">
        <v>3346889</v>
      </c>
      <c r="W60">
        <v>3346875</v>
      </c>
      <c r="X60">
        <v>3346689</v>
      </c>
      <c r="Y60">
        <v>3346889</v>
      </c>
    </row>
    <row r="61" spans="2:25" x14ac:dyDescent="0.25">
      <c r="B61">
        <v>675</v>
      </c>
      <c r="C61">
        <v>268</v>
      </c>
      <c r="D61">
        <v>499</v>
      </c>
      <c r="E61">
        <v>578</v>
      </c>
      <c r="F61">
        <v>559</v>
      </c>
      <c r="G61">
        <v>279</v>
      </c>
      <c r="H61">
        <v>301</v>
      </c>
      <c r="I61">
        <v>171</v>
      </c>
      <c r="J61">
        <v>586</v>
      </c>
      <c r="K61">
        <v>429</v>
      </c>
      <c r="L61">
        <v>268</v>
      </c>
      <c r="M61">
        <v>289</v>
      </c>
      <c r="N61">
        <v>3346889</v>
      </c>
      <c r="O61">
        <v>3346472</v>
      </c>
      <c r="P61">
        <v>3346489</v>
      </c>
      <c r="Q61">
        <v>3346489</v>
      </c>
      <c r="R61">
        <v>3346489</v>
      </c>
      <c r="S61">
        <v>3346472</v>
      </c>
      <c r="T61">
        <v>3346883</v>
      </c>
      <c r="U61">
        <v>3346868</v>
      </c>
      <c r="V61">
        <v>3346889</v>
      </c>
      <c r="W61">
        <v>3346875</v>
      </c>
      <c r="X61">
        <v>3346689</v>
      </c>
      <c r="Y61">
        <v>3346889</v>
      </c>
    </row>
    <row r="62" spans="2:25" x14ac:dyDescent="0.25">
      <c r="B62">
        <v>661</v>
      </c>
      <c r="C62">
        <v>258</v>
      </c>
      <c r="D62">
        <v>483</v>
      </c>
      <c r="E62">
        <v>562</v>
      </c>
      <c r="F62">
        <v>587</v>
      </c>
      <c r="G62">
        <v>265</v>
      </c>
      <c r="H62">
        <v>253</v>
      </c>
      <c r="I62">
        <v>173</v>
      </c>
      <c r="J62">
        <v>610</v>
      </c>
      <c r="K62">
        <v>413</v>
      </c>
      <c r="L62">
        <v>282</v>
      </c>
      <c r="M62">
        <v>306</v>
      </c>
      <c r="N62">
        <v>3346889</v>
      </c>
      <c r="O62">
        <v>3346472</v>
      </c>
      <c r="P62">
        <v>3346489</v>
      </c>
      <c r="Q62">
        <v>3346489</v>
      </c>
      <c r="R62">
        <v>3346489</v>
      </c>
      <c r="S62">
        <v>3346472</v>
      </c>
      <c r="T62">
        <v>3346883</v>
      </c>
      <c r="U62">
        <v>3346868</v>
      </c>
      <c r="V62">
        <v>3346889</v>
      </c>
      <c r="W62">
        <v>3346875</v>
      </c>
      <c r="X62">
        <v>3346689</v>
      </c>
      <c r="Y62">
        <v>3346889</v>
      </c>
    </row>
    <row r="63" spans="2:25" x14ac:dyDescent="0.25">
      <c r="B63">
        <v>663</v>
      </c>
      <c r="C63">
        <v>264</v>
      </c>
      <c r="D63">
        <v>468</v>
      </c>
      <c r="E63">
        <v>572</v>
      </c>
      <c r="F63">
        <v>570</v>
      </c>
      <c r="G63">
        <v>277</v>
      </c>
      <c r="H63">
        <v>249</v>
      </c>
      <c r="I63">
        <v>167</v>
      </c>
      <c r="J63">
        <v>594</v>
      </c>
      <c r="K63">
        <v>344</v>
      </c>
      <c r="L63">
        <v>287</v>
      </c>
      <c r="M63">
        <v>319</v>
      </c>
      <c r="N63">
        <v>3346889</v>
      </c>
      <c r="O63">
        <v>3346472</v>
      </c>
      <c r="P63">
        <v>3346489</v>
      </c>
      <c r="Q63">
        <v>3346489</v>
      </c>
      <c r="R63">
        <v>3346489</v>
      </c>
      <c r="S63">
        <v>3346472</v>
      </c>
      <c r="T63">
        <v>3346883</v>
      </c>
      <c r="U63">
        <v>3346868</v>
      </c>
      <c r="V63">
        <v>3346889</v>
      </c>
      <c r="W63">
        <v>3346875</v>
      </c>
      <c r="X63">
        <v>3346689</v>
      </c>
      <c r="Y63">
        <v>3346889</v>
      </c>
    </row>
    <row r="64" spans="2:25" x14ac:dyDescent="0.25">
      <c r="B64">
        <v>654</v>
      </c>
      <c r="C64">
        <v>259</v>
      </c>
      <c r="D64">
        <v>461</v>
      </c>
      <c r="E64">
        <v>573</v>
      </c>
      <c r="F64">
        <v>569</v>
      </c>
      <c r="G64">
        <v>265</v>
      </c>
      <c r="H64">
        <v>298</v>
      </c>
      <c r="I64">
        <v>178</v>
      </c>
      <c r="J64">
        <v>620</v>
      </c>
      <c r="K64">
        <v>390</v>
      </c>
      <c r="L64">
        <v>284</v>
      </c>
      <c r="M64">
        <v>294</v>
      </c>
      <c r="N64">
        <v>3346889</v>
      </c>
      <c r="O64">
        <v>3346472</v>
      </c>
      <c r="P64">
        <v>3346489</v>
      </c>
      <c r="Q64">
        <v>3346489</v>
      </c>
      <c r="R64">
        <v>3346489</v>
      </c>
      <c r="S64">
        <v>3346472</v>
      </c>
      <c r="T64">
        <v>3346883</v>
      </c>
      <c r="U64">
        <v>3346868</v>
      </c>
      <c r="V64">
        <v>3346889</v>
      </c>
      <c r="W64">
        <v>3346875</v>
      </c>
      <c r="X64">
        <v>3346689</v>
      </c>
      <c r="Y64">
        <v>3346889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1576</v>
      </c>
      <c r="C68">
        <v>496</v>
      </c>
      <c r="D68">
        <v>1321</v>
      </c>
      <c r="E68">
        <v>1277</v>
      </c>
      <c r="F68">
        <v>842</v>
      </c>
      <c r="G68">
        <v>504</v>
      </c>
      <c r="H68">
        <v>511</v>
      </c>
      <c r="I68">
        <v>223</v>
      </c>
      <c r="J68">
        <v>1164</v>
      </c>
      <c r="K68">
        <v>995</v>
      </c>
      <c r="L68">
        <v>498</v>
      </c>
      <c r="M68">
        <v>582</v>
      </c>
    </row>
    <row r="69" spans="2:13" x14ac:dyDescent="0.25">
      <c r="B69">
        <v>1570</v>
      </c>
      <c r="C69">
        <v>485</v>
      </c>
      <c r="D69">
        <v>1276</v>
      </c>
      <c r="E69">
        <v>1226</v>
      </c>
      <c r="F69">
        <v>840</v>
      </c>
      <c r="G69">
        <v>490</v>
      </c>
      <c r="H69">
        <v>520</v>
      </c>
      <c r="I69">
        <v>236</v>
      </c>
      <c r="J69">
        <v>1174</v>
      </c>
      <c r="K69">
        <v>1106</v>
      </c>
      <c r="L69">
        <v>509</v>
      </c>
      <c r="M69">
        <v>636</v>
      </c>
    </row>
    <row r="70" spans="2:13" x14ac:dyDescent="0.25">
      <c r="B70">
        <v>1528</v>
      </c>
      <c r="C70">
        <v>508</v>
      </c>
      <c r="D70">
        <v>1316</v>
      </c>
      <c r="E70">
        <v>1241</v>
      </c>
      <c r="F70">
        <v>840</v>
      </c>
      <c r="G70">
        <v>486</v>
      </c>
      <c r="H70">
        <v>504</v>
      </c>
      <c r="I70">
        <v>235</v>
      </c>
      <c r="J70">
        <v>1151</v>
      </c>
      <c r="K70">
        <v>1036</v>
      </c>
      <c r="L70">
        <v>555</v>
      </c>
      <c r="M70">
        <v>562</v>
      </c>
    </row>
    <row r="71" spans="2:13" x14ac:dyDescent="0.25">
      <c r="B71">
        <v>1601</v>
      </c>
      <c r="C71">
        <v>492</v>
      </c>
      <c r="D71">
        <v>1302</v>
      </c>
      <c r="E71">
        <v>1242</v>
      </c>
      <c r="F71">
        <v>843</v>
      </c>
      <c r="G71">
        <v>486</v>
      </c>
      <c r="H71">
        <v>494</v>
      </c>
      <c r="I71">
        <v>263</v>
      </c>
      <c r="J71">
        <v>1053</v>
      </c>
      <c r="K71">
        <v>1054</v>
      </c>
      <c r="L71">
        <v>564</v>
      </c>
      <c r="M71">
        <v>615</v>
      </c>
    </row>
    <row r="72" spans="2:13" x14ac:dyDescent="0.25">
      <c r="B72">
        <v>1550</v>
      </c>
      <c r="C72">
        <v>492</v>
      </c>
      <c r="D72">
        <v>1282</v>
      </c>
      <c r="E72">
        <v>1237</v>
      </c>
      <c r="F72">
        <v>806</v>
      </c>
      <c r="G72">
        <v>500</v>
      </c>
      <c r="H72">
        <v>594</v>
      </c>
      <c r="I72">
        <v>235</v>
      </c>
      <c r="J72">
        <v>1102</v>
      </c>
      <c r="K72">
        <v>1169</v>
      </c>
      <c r="L72">
        <v>492</v>
      </c>
      <c r="M72">
        <v>642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2"/>
  <sheetViews>
    <sheetView workbookViewId="0">
      <selection activeCell="A51" sqref="A5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40</v>
      </c>
    </row>
    <row r="37" spans="2:17" x14ac:dyDescent="0.25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AVERAGE(Table37[Newtonsoft])</f>
        <v>697</v>
      </c>
      <c r="D38" s="2">
        <f>AVERAGE(Table37[Revenj])</f>
        <v>680.2</v>
      </c>
      <c r="E38" s="2">
        <f>AVERAGE(Table37[fastJSON])</f>
        <v>680.2</v>
      </c>
      <c r="F38" s="2">
        <f>AVERAGE(Table37[Service Stack])</f>
        <v>697.4</v>
      </c>
      <c r="G38" s="2">
        <f>AVERAGE(Table37[Jil])</f>
        <v>688</v>
      </c>
      <c r="H38" s="2">
        <f>AVERAGE(Table37[NetJSON])</f>
        <v>685.2</v>
      </c>
      <c r="I38" s="2">
        <f>AVERAGE(Table37[Jackson])</f>
        <v>361.6</v>
      </c>
      <c r="J38" s="2">
        <f>AVERAGE(Table37[DSL Platform Java])</f>
        <v>362.8</v>
      </c>
      <c r="K38" s="2">
        <f>AVERAGE(Table37[Genson])</f>
        <v>359.4</v>
      </c>
      <c r="L38" s="2">
        <f>AVERAGE(Table37[Boon])</f>
        <v>362.6</v>
      </c>
      <c r="M38" s="2">
        <f>AVERAGE(Table37[Alibaba])</f>
        <v>365</v>
      </c>
      <c r="N38" s="2">
        <f>AVERAGE(Table37[Gson])</f>
        <v>359.8</v>
      </c>
      <c r="O38" s="2"/>
      <c r="P38" s="2"/>
      <c r="Q38" s="2"/>
    </row>
    <row r="39" spans="2:17" x14ac:dyDescent="0.25">
      <c r="B39" t="s">
        <v>0</v>
      </c>
      <c r="C39" s="2">
        <f>AVERAGE(Table36[Newtonsoft]) - C38</f>
        <v>5858.4</v>
      </c>
      <c r="D39" s="2">
        <f>AVERAGE(Table36[Revenj]) - D38</f>
        <v>1930.6000000000001</v>
      </c>
      <c r="E39" s="2">
        <f>AVERAGE(Table36[fastJSON]) - E38</f>
        <v>4163.2</v>
      </c>
      <c r="F39" s="2">
        <f>AVERAGE(Table36[Service Stack]) - F38</f>
        <v>5001.2000000000007</v>
      </c>
      <c r="G39" s="2">
        <f>AVERAGE(Table36[Jil]) - G38</f>
        <v>4898.8</v>
      </c>
      <c r="H39" s="2">
        <f>AVERAGE(Table36[NetJSON]) - H38</f>
        <v>2027.2</v>
      </c>
      <c r="I39" s="2">
        <f>AVERAGE(Table36[Jackson]) - I38</f>
        <v>864.19999999999993</v>
      </c>
      <c r="J39" s="2">
        <f>AVERAGE(Table36[DSL Platform Java]) - J38</f>
        <v>420.2</v>
      </c>
      <c r="K39" s="2">
        <f>AVERAGE(Table36[Genson]) - K38</f>
        <v>3542</v>
      </c>
      <c r="L39" s="2">
        <f>AVERAGE(Table36[Boon]) - L38</f>
        <v>1341.8000000000002</v>
      </c>
      <c r="M39" s="2">
        <f>AVERAGE(Table36[Alibaba]) - M38</f>
        <v>936</v>
      </c>
      <c r="N39" s="2">
        <f>AVERAGE(Table36[Gson]) - N38</f>
        <v>1623.2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9316.2000000000007</v>
      </c>
      <c r="D40" s="2">
        <f t="shared" si="0"/>
        <v>2339.3999999999996</v>
      </c>
      <c r="E40" s="2">
        <f t="shared" ref="E40" si="1">E41 - E39 - E38</f>
        <v>8122.2000000000016</v>
      </c>
      <c r="F40" s="2">
        <f t="shared" si="0"/>
        <v>6770.4</v>
      </c>
      <c r="G40" s="2">
        <f t="shared" si="0"/>
        <v>2739.8</v>
      </c>
      <c r="H40" s="2">
        <f t="shared" si="0"/>
        <v>2331</v>
      </c>
      <c r="I40" s="2">
        <f t="shared" ref="I40" si="2">I41 - I39 - I38</f>
        <v>1286.2000000000003</v>
      </c>
      <c r="J40" s="2">
        <f t="shared" ref="J40" si="3">J41 - J39 - J38</f>
        <v>358.7999999999999</v>
      </c>
      <c r="K40" s="2">
        <f t="shared" ref="K40:L40" si="4">K41 - K39 - K38</f>
        <v>4094.7999999999997</v>
      </c>
      <c r="L40" s="2">
        <f t="shared" si="4"/>
        <v>6564.9999999999991</v>
      </c>
      <c r="M40" s="2">
        <f t="shared" ref="M40" si="5">M41 - M39 - M38</f>
        <v>1369.6</v>
      </c>
      <c r="N40" s="2">
        <f t="shared" ref="N40" si="6">N41 - N39 - N38</f>
        <v>1695.8000000000004</v>
      </c>
      <c r="O40" s="2"/>
      <c r="P40" s="2"/>
      <c r="Q40" s="2"/>
    </row>
    <row r="41" spans="2:17" x14ac:dyDescent="0.25">
      <c r="B41" t="s">
        <v>25</v>
      </c>
      <c r="C41" s="2">
        <f>AVERAGE(Table38[Newtonsoft])</f>
        <v>15871.6</v>
      </c>
      <c r="D41" s="2">
        <f>AVERAGE(Table38[Revenj])</f>
        <v>4950.2</v>
      </c>
      <c r="E41" s="2">
        <f>AVERAGE(Table38[fastJSON])</f>
        <v>12965.6</v>
      </c>
      <c r="F41" s="2">
        <f>AVERAGE(Table38[Service Stack])</f>
        <v>12469</v>
      </c>
      <c r="G41" s="2">
        <f>AVERAGE(Table38[Jil])</f>
        <v>8326.6</v>
      </c>
      <c r="H41" s="2">
        <f>AVERAGE(Table38[NetJSON])</f>
        <v>5043.3999999999996</v>
      </c>
      <c r="I41" s="2">
        <f>AVERAGE(Table38[Jackson])</f>
        <v>2512</v>
      </c>
      <c r="J41" s="2">
        <f>AVERAGE(Table38[DSL Platform Java])</f>
        <v>1141.8</v>
      </c>
      <c r="K41" s="2">
        <f>AVERAGE(Table38[Genson])</f>
        <v>7996.2</v>
      </c>
      <c r="L41" s="2">
        <f>AVERAGE(Table38[Boon])</f>
        <v>8269.4</v>
      </c>
      <c r="M41" s="2">
        <f>AVERAGE(Table38[Alibaba])</f>
        <v>2670.6</v>
      </c>
      <c r="N41" s="2">
        <f>AVERAGE(Table38[Gson])</f>
        <v>3678.8</v>
      </c>
      <c r="O41" s="2"/>
      <c r="P41" s="2"/>
      <c r="Q41" s="2"/>
    </row>
    <row r="42" spans="2:17" x14ac:dyDescent="0.25">
      <c r="B42" t="s">
        <v>4</v>
      </c>
      <c r="C42" s="3">
        <f>AVERAGE(Table36[Newtonsoft (size)])</f>
        <v>36448889</v>
      </c>
      <c r="D42" s="3">
        <f>AVERAGE(Table36[Revenj (size)])</f>
        <v>36444872</v>
      </c>
      <c r="E42" s="3">
        <f>AVERAGE(Table36[fastJSON (size)])</f>
        <v>36444889</v>
      </c>
      <c r="F42" s="3">
        <f>AVERAGE(Table36[Service Stack (size)])</f>
        <v>36444889</v>
      </c>
      <c r="G42" s="2">
        <f>AVERAGE(Table36[Jil (size)])</f>
        <v>36444889</v>
      </c>
      <c r="H42" s="2">
        <f>AVERAGE(Table36[NetJSON (size)])</f>
        <v>36444872</v>
      </c>
      <c r="I42" s="2">
        <f>AVERAGE(Table36[Jackson (size)])</f>
        <v>36448883</v>
      </c>
      <c r="J42" s="2">
        <f>AVERAGE(Table36[DSL Platform Java (size)])</f>
        <v>36448868</v>
      </c>
      <c r="K42" s="2">
        <f>AVERAGE(Table36[Genson (size)])</f>
        <v>36448889</v>
      </c>
      <c r="L42" s="2">
        <f>AVERAGE(Table36[Boon (size)])</f>
        <v>36448875</v>
      </c>
      <c r="M42" s="2">
        <f>AVERAGE(Table36[Alibaba (size)])</f>
        <v>36446889</v>
      </c>
      <c r="N42" s="2">
        <f>AVERAGE(Table36[Gson (size)])</f>
        <v>36448889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DEVSQ(Table36[Newtonsoft])</f>
        <v>263577.2</v>
      </c>
      <c r="D47" s="2">
        <f>DEVSQ(Table36[Revenj])</f>
        <v>5974.8</v>
      </c>
      <c r="E47" s="2">
        <f>DEVSQ(Table36[fastJSON])</f>
        <v>93741.2</v>
      </c>
      <c r="F47" s="2">
        <f>DEVSQ(Table36[Service Stack])</f>
        <v>70283.200000000012</v>
      </c>
      <c r="G47" s="2">
        <f>DEVSQ(Table36[Jil])</f>
        <v>32692.799999999999</v>
      </c>
      <c r="H47" s="2">
        <f>DEVSQ(Table36[NetJSON])</f>
        <v>29289.199999999997</v>
      </c>
      <c r="I47" s="2">
        <f>DEVSQ(Table36[Jackson])</f>
        <v>6258.8</v>
      </c>
      <c r="J47" s="2">
        <f>DEVSQ(Table36[DSL Platform Java])</f>
        <v>3064</v>
      </c>
      <c r="K47" s="2">
        <f>DEVSQ(Table36[Genson])</f>
        <v>5423.2</v>
      </c>
      <c r="L47" s="2">
        <f>DEVSQ(Table36[Boon])</f>
        <v>15961.199999999999</v>
      </c>
      <c r="M47" s="2">
        <f>DEVSQ(Table36[Alibaba])</f>
        <v>14926</v>
      </c>
      <c r="N47" s="2">
        <f>DEVSQ(Table36[Gson])</f>
        <v>96662</v>
      </c>
      <c r="O47" s="2"/>
      <c r="P47" s="2"/>
      <c r="Q47" s="2"/>
    </row>
    <row r="48" spans="2:17" x14ac:dyDescent="0.25">
      <c r="B48" t="s">
        <v>25</v>
      </c>
      <c r="C48" s="2">
        <f>DEVSQ(Table38[Newtonsoft])</f>
        <v>11729.2</v>
      </c>
      <c r="D48" s="2">
        <f>DEVSQ(Table38[Revenj])</f>
        <v>18938.8</v>
      </c>
      <c r="E48" s="2">
        <f>DEVSQ(Table38[fastJSON])</f>
        <v>106081.2</v>
      </c>
      <c r="F48" s="2">
        <f>DEVSQ(Table38[Service Stack])</f>
        <v>108522</v>
      </c>
      <c r="G48" s="2">
        <f>DEVSQ(Table38[Jil])</f>
        <v>294405.19999999995</v>
      </c>
      <c r="H48" s="2">
        <f>DEVSQ(Table38[NetJSON])</f>
        <v>10559.2</v>
      </c>
      <c r="I48" s="2">
        <f>DEVSQ(Table38[Jackson])</f>
        <v>73740</v>
      </c>
      <c r="J48" s="2">
        <f>DEVSQ(Table38[DSL Platform Java])</f>
        <v>1826.8</v>
      </c>
      <c r="K48" s="2">
        <f>DEVSQ(Table38[Genson])</f>
        <v>22812.799999999999</v>
      </c>
      <c r="L48" s="2">
        <f>DEVSQ(Table38[Boon])</f>
        <v>429673.2</v>
      </c>
      <c r="M48" s="2">
        <f>DEVSQ(Table38[Alibaba])</f>
        <v>62609.200000000004</v>
      </c>
      <c r="N48" s="2">
        <f>DEVSQ(Table38[Gson])</f>
        <v>11898.8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722</v>
      </c>
      <c r="C52">
        <v>709</v>
      </c>
      <c r="D52">
        <v>665</v>
      </c>
      <c r="E52">
        <v>674</v>
      </c>
      <c r="F52">
        <v>658</v>
      </c>
      <c r="G52">
        <v>651</v>
      </c>
      <c r="H52">
        <v>361</v>
      </c>
      <c r="I52">
        <v>370</v>
      </c>
      <c r="J52">
        <v>356</v>
      </c>
      <c r="K52">
        <v>366</v>
      </c>
      <c r="L52">
        <v>365</v>
      </c>
      <c r="M52">
        <v>358</v>
      </c>
    </row>
    <row r="53" spans="2:25" x14ac:dyDescent="0.25">
      <c r="B53">
        <v>669</v>
      </c>
      <c r="C53">
        <v>706</v>
      </c>
      <c r="D53">
        <v>690</v>
      </c>
      <c r="E53">
        <v>751</v>
      </c>
      <c r="F53">
        <v>649</v>
      </c>
      <c r="G53">
        <v>709</v>
      </c>
      <c r="H53">
        <v>358</v>
      </c>
      <c r="I53">
        <v>362</v>
      </c>
      <c r="J53">
        <v>359</v>
      </c>
      <c r="K53">
        <v>368</v>
      </c>
      <c r="L53">
        <v>362</v>
      </c>
      <c r="M53">
        <v>360</v>
      </c>
    </row>
    <row r="54" spans="2:25" x14ac:dyDescent="0.25">
      <c r="B54">
        <v>702</v>
      </c>
      <c r="C54">
        <v>661</v>
      </c>
      <c r="D54">
        <v>719</v>
      </c>
      <c r="E54">
        <v>669</v>
      </c>
      <c r="F54">
        <v>741</v>
      </c>
      <c r="G54">
        <v>680</v>
      </c>
      <c r="H54">
        <v>367</v>
      </c>
      <c r="I54">
        <v>359</v>
      </c>
      <c r="J54">
        <v>364</v>
      </c>
      <c r="K54">
        <v>362</v>
      </c>
      <c r="L54">
        <v>357</v>
      </c>
      <c r="M54">
        <v>357</v>
      </c>
    </row>
    <row r="55" spans="2:25" x14ac:dyDescent="0.25">
      <c r="B55">
        <v>726</v>
      </c>
      <c r="C55">
        <v>654</v>
      </c>
      <c r="D55">
        <v>653</v>
      </c>
      <c r="E55">
        <v>661</v>
      </c>
      <c r="F55">
        <v>682</v>
      </c>
      <c r="G55">
        <v>678</v>
      </c>
      <c r="H55">
        <v>364</v>
      </c>
      <c r="I55">
        <v>362</v>
      </c>
      <c r="J55">
        <v>357</v>
      </c>
      <c r="K55">
        <v>357</v>
      </c>
      <c r="L55">
        <v>376</v>
      </c>
      <c r="M55">
        <v>366</v>
      </c>
    </row>
    <row r="56" spans="2:25" x14ac:dyDescent="0.25">
      <c r="B56">
        <v>666</v>
      </c>
      <c r="C56">
        <v>671</v>
      </c>
      <c r="D56">
        <v>674</v>
      </c>
      <c r="E56">
        <v>732</v>
      </c>
      <c r="F56">
        <v>710</v>
      </c>
      <c r="G56">
        <v>708</v>
      </c>
      <c r="H56">
        <v>358</v>
      </c>
      <c r="I56">
        <v>361</v>
      </c>
      <c r="J56">
        <v>361</v>
      </c>
      <c r="K56">
        <v>360</v>
      </c>
      <c r="L56">
        <v>365</v>
      </c>
      <c r="M56">
        <v>358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6524</v>
      </c>
      <c r="C60">
        <v>2636</v>
      </c>
      <c r="D60">
        <v>4803</v>
      </c>
      <c r="E60">
        <v>5690</v>
      </c>
      <c r="F60">
        <v>5492</v>
      </c>
      <c r="G60">
        <v>2620</v>
      </c>
      <c r="H60">
        <v>1186</v>
      </c>
      <c r="I60">
        <v>829</v>
      </c>
      <c r="J60">
        <v>3890</v>
      </c>
      <c r="K60">
        <v>1739</v>
      </c>
      <c r="L60">
        <v>1249</v>
      </c>
      <c r="M60">
        <v>2145</v>
      </c>
      <c r="N60">
        <v>36448889</v>
      </c>
      <c r="O60">
        <v>36444872</v>
      </c>
      <c r="P60">
        <v>36444889</v>
      </c>
      <c r="Q60">
        <v>36444889</v>
      </c>
      <c r="R60">
        <v>36444889</v>
      </c>
      <c r="S60">
        <v>36444872</v>
      </c>
      <c r="T60">
        <v>36448883</v>
      </c>
      <c r="U60">
        <v>36448868</v>
      </c>
      <c r="V60">
        <v>36448889</v>
      </c>
      <c r="W60">
        <v>36448875</v>
      </c>
      <c r="X60">
        <v>36446889</v>
      </c>
      <c r="Y60">
        <v>36448889</v>
      </c>
    </row>
    <row r="61" spans="2:25" x14ac:dyDescent="0.25">
      <c r="B61">
        <v>6543</v>
      </c>
      <c r="C61">
        <v>2662</v>
      </c>
      <c r="D61">
        <v>4688</v>
      </c>
      <c r="E61">
        <v>5792</v>
      </c>
      <c r="F61">
        <v>5583</v>
      </c>
      <c r="G61">
        <v>2647</v>
      </c>
      <c r="H61">
        <v>1229</v>
      </c>
      <c r="I61">
        <v>762</v>
      </c>
      <c r="J61">
        <v>3868</v>
      </c>
      <c r="K61">
        <v>1778</v>
      </c>
      <c r="L61">
        <v>1342</v>
      </c>
      <c r="M61">
        <v>1866</v>
      </c>
      <c r="N61">
        <v>36448889</v>
      </c>
      <c r="O61">
        <v>36444872</v>
      </c>
      <c r="P61">
        <v>36444889</v>
      </c>
      <c r="Q61">
        <v>36444889</v>
      </c>
      <c r="R61">
        <v>36444889</v>
      </c>
      <c r="S61">
        <v>36444872</v>
      </c>
      <c r="T61">
        <v>36448883</v>
      </c>
      <c r="U61">
        <v>36448868</v>
      </c>
      <c r="V61">
        <v>36448889</v>
      </c>
      <c r="W61">
        <v>36448875</v>
      </c>
      <c r="X61">
        <v>36446889</v>
      </c>
      <c r="Y61">
        <v>36448889</v>
      </c>
    </row>
    <row r="62" spans="2:25" x14ac:dyDescent="0.25">
      <c r="B62">
        <v>6940</v>
      </c>
      <c r="C62">
        <v>2600</v>
      </c>
      <c r="D62">
        <v>4834</v>
      </c>
      <c r="E62">
        <v>5472</v>
      </c>
      <c r="F62">
        <v>5711</v>
      </c>
      <c r="G62">
        <v>2694</v>
      </c>
      <c r="H62">
        <v>1290</v>
      </c>
      <c r="I62">
        <v>772</v>
      </c>
      <c r="J62">
        <v>3868</v>
      </c>
      <c r="K62">
        <v>1678</v>
      </c>
      <c r="L62">
        <v>1386</v>
      </c>
      <c r="M62">
        <v>2161</v>
      </c>
      <c r="N62">
        <v>36448889</v>
      </c>
      <c r="O62">
        <v>36444872</v>
      </c>
      <c r="P62">
        <v>36444889</v>
      </c>
      <c r="Q62">
        <v>36444889</v>
      </c>
      <c r="R62">
        <v>36444889</v>
      </c>
      <c r="S62">
        <v>36444872</v>
      </c>
      <c r="T62">
        <v>36448883</v>
      </c>
      <c r="U62">
        <v>36448868</v>
      </c>
      <c r="V62">
        <v>36448889</v>
      </c>
      <c r="W62">
        <v>36448875</v>
      </c>
      <c r="X62">
        <v>36446889</v>
      </c>
      <c r="Y62">
        <v>36448889</v>
      </c>
    </row>
    <row r="63" spans="2:25" x14ac:dyDescent="0.25">
      <c r="B63">
        <v>6217</v>
      </c>
      <c r="C63">
        <v>2593</v>
      </c>
      <c r="D63">
        <v>4793</v>
      </c>
      <c r="E63">
        <v>5763</v>
      </c>
      <c r="F63">
        <v>5511</v>
      </c>
      <c r="G63">
        <v>2783</v>
      </c>
      <c r="H63">
        <v>1203</v>
      </c>
      <c r="I63">
        <v>788</v>
      </c>
      <c r="J63">
        <v>3939</v>
      </c>
      <c r="K63">
        <v>1715</v>
      </c>
      <c r="L63">
        <v>1247</v>
      </c>
      <c r="M63">
        <v>1862</v>
      </c>
      <c r="N63">
        <v>36448889</v>
      </c>
      <c r="O63">
        <v>36444872</v>
      </c>
      <c r="P63">
        <v>36444889</v>
      </c>
      <c r="Q63">
        <v>36444889</v>
      </c>
      <c r="R63">
        <v>36444889</v>
      </c>
      <c r="S63">
        <v>36444872</v>
      </c>
      <c r="T63">
        <v>36448883</v>
      </c>
      <c r="U63">
        <v>36448868</v>
      </c>
      <c r="V63">
        <v>36448889</v>
      </c>
      <c r="W63">
        <v>36448875</v>
      </c>
      <c r="X63">
        <v>36446889</v>
      </c>
      <c r="Y63">
        <v>36448889</v>
      </c>
    </row>
    <row r="64" spans="2:25" x14ac:dyDescent="0.25">
      <c r="B64">
        <v>6553</v>
      </c>
      <c r="C64">
        <v>2563</v>
      </c>
      <c r="D64">
        <v>5099</v>
      </c>
      <c r="E64">
        <v>5776</v>
      </c>
      <c r="F64">
        <v>5637</v>
      </c>
      <c r="G64">
        <v>2818</v>
      </c>
      <c r="H64">
        <v>1221</v>
      </c>
      <c r="I64">
        <v>764</v>
      </c>
      <c r="J64">
        <v>3942</v>
      </c>
      <c r="K64">
        <v>1612</v>
      </c>
      <c r="L64">
        <v>1281</v>
      </c>
      <c r="M64">
        <v>1881</v>
      </c>
      <c r="N64">
        <v>36448889</v>
      </c>
      <c r="O64">
        <v>36444872</v>
      </c>
      <c r="P64">
        <v>36444889</v>
      </c>
      <c r="Q64">
        <v>36444889</v>
      </c>
      <c r="R64">
        <v>36444889</v>
      </c>
      <c r="S64">
        <v>36444872</v>
      </c>
      <c r="T64">
        <v>36448883</v>
      </c>
      <c r="U64">
        <v>36448868</v>
      </c>
      <c r="V64">
        <v>36448889</v>
      </c>
      <c r="W64">
        <v>36448875</v>
      </c>
      <c r="X64">
        <v>36446889</v>
      </c>
      <c r="Y64">
        <v>36448889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15840</v>
      </c>
      <c r="C68">
        <v>4938</v>
      </c>
      <c r="D68">
        <v>13003</v>
      </c>
      <c r="E68">
        <v>12287</v>
      </c>
      <c r="F68">
        <v>8604</v>
      </c>
      <c r="G68">
        <v>4980</v>
      </c>
      <c r="H68">
        <v>2373</v>
      </c>
      <c r="I68">
        <v>1147</v>
      </c>
      <c r="J68">
        <v>8035</v>
      </c>
      <c r="K68">
        <v>8351</v>
      </c>
      <c r="L68">
        <v>2759</v>
      </c>
      <c r="M68">
        <v>3616</v>
      </c>
    </row>
    <row r="69" spans="2:13" x14ac:dyDescent="0.25">
      <c r="B69">
        <v>15881</v>
      </c>
      <c r="C69">
        <v>5001</v>
      </c>
      <c r="D69">
        <v>12991</v>
      </c>
      <c r="E69">
        <v>12652</v>
      </c>
      <c r="F69">
        <v>8313</v>
      </c>
      <c r="G69">
        <v>5021</v>
      </c>
      <c r="H69">
        <v>2380</v>
      </c>
      <c r="I69">
        <v>1155</v>
      </c>
      <c r="J69">
        <v>7959</v>
      </c>
      <c r="K69">
        <v>8052</v>
      </c>
      <c r="L69">
        <v>2746</v>
      </c>
      <c r="M69">
        <v>3638</v>
      </c>
    </row>
    <row r="70" spans="2:13" x14ac:dyDescent="0.25">
      <c r="B70">
        <v>15829</v>
      </c>
      <c r="C70">
        <v>4970</v>
      </c>
      <c r="D70">
        <v>12692</v>
      </c>
      <c r="E70">
        <v>12541</v>
      </c>
      <c r="F70">
        <v>8598</v>
      </c>
      <c r="G70">
        <v>5088</v>
      </c>
      <c r="H70">
        <v>2679</v>
      </c>
      <c r="I70">
        <v>1163</v>
      </c>
      <c r="J70">
        <v>8063</v>
      </c>
      <c r="K70">
        <v>8393</v>
      </c>
      <c r="L70">
        <v>2522</v>
      </c>
      <c r="M70">
        <v>3747</v>
      </c>
    </row>
    <row r="71" spans="2:13" x14ac:dyDescent="0.25">
      <c r="B71">
        <v>15846</v>
      </c>
      <c r="C71">
        <v>5005</v>
      </c>
      <c r="D71">
        <v>13130</v>
      </c>
      <c r="E71">
        <v>12563</v>
      </c>
      <c r="F71">
        <v>8045</v>
      </c>
      <c r="G71">
        <v>5024</v>
      </c>
      <c r="H71">
        <v>2521</v>
      </c>
      <c r="I71">
        <v>1108</v>
      </c>
      <c r="J71">
        <v>8043</v>
      </c>
      <c r="K71">
        <v>7851</v>
      </c>
      <c r="L71">
        <v>2547</v>
      </c>
      <c r="M71">
        <v>3719</v>
      </c>
    </row>
    <row r="72" spans="2:13" x14ac:dyDescent="0.25">
      <c r="B72">
        <v>15962</v>
      </c>
      <c r="C72">
        <v>4837</v>
      </c>
      <c r="D72">
        <v>13012</v>
      </c>
      <c r="E72">
        <v>12302</v>
      </c>
      <c r="F72">
        <v>8073</v>
      </c>
      <c r="G72">
        <v>5104</v>
      </c>
      <c r="H72">
        <v>2607</v>
      </c>
      <c r="I72">
        <v>1136</v>
      </c>
      <c r="J72">
        <v>7881</v>
      </c>
      <c r="K72">
        <v>8700</v>
      </c>
      <c r="L72">
        <v>2779</v>
      </c>
      <c r="M72">
        <v>3674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2"/>
  <sheetViews>
    <sheetView workbookViewId="0">
      <selection activeCell="A51" sqref="A5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41</v>
      </c>
    </row>
    <row r="37" spans="2:17" x14ac:dyDescent="0.25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AVERAGE(Table42[Newtonsoft])</f>
        <v>6748.2</v>
      </c>
      <c r="D38" s="2">
        <f>AVERAGE(Table42[Revenj])</f>
        <v>6775.2</v>
      </c>
      <c r="E38" s="2">
        <f>AVERAGE(Table42[fastJSON])</f>
        <v>6669.8</v>
      </c>
      <c r="F38" s="2">
        <f>AVERAGE(Table42[Service Stack])</f>
        <v>6694.4</v>
      </c>
      <c r="G38" s="2">
        <f>AVERAGE(Table42[Jil])</f>
        <v>7000</v>
      </c>
      <c r="H38" s="2">
        <f>AVERAGE(Table42[NetJSON])</f>
        <v>6935</v>
      </c>
      <c r="I38" s="2">
        <f>AVERAGE(Table42[Jackson])</f>
        <v>3466.8</v>
      </c>
      <c r="J38" s="2">
        <f>AVERAGE(Table42[DSL Platform Java])</f>
        <v>3487.2</v>
      </c>
      <c r="K38" s="2">
        <f>AVERAGE(Table42[Genson])</f>
        <v>3484.2</v>
      </c>
      <c r="L38" s="2">
        <f>AVERAGE(Table42[Boon])</f>
        <v>3455.4</v>
      </c>
      <c r="M38" s="2">
        <f>AVERAGE(Table42[Alibaba])</f>
        <v>3447.8</v>
      </c>
      <c r="N38" s="2">
        <f>AVERAGE(Table42[Gson])</f>
        <v>3449.2</v>
      </c>
      <c r="O38" s="2"/>
      <c r="P38" s="2"/>
      <c r="Q38" s="2"/>
    </row>
    <row r="39" spans="2:17" x14ac:dyDescent="0.25">
      <c r="B39" t="s">
        <v>0</v>
      </c>
      <c r="C39" s="2">
        <f>AVERAGE(Table41[Newtonsoft]) - C38</f>
        <v>60865.8</v>
      </c>
      <c r="D39" s="2">
        <f>AVERAGE(Table41[Revenj]) - D38</f>
        <v>19989.599999999999</v>
      </c>
      <c r="E39" s="2">
        <f>AVERAGE(Table41[fastJSON]) - E38</f>
        <v>41934.6</v>
      </c>
      <c r="F39" s="2">
        <f>AVERAGE(Table41[Service Stack]) - F38</f>
        <v>49937.599999999999</v>
      </c>
      <c r="G39" s="2">
        <f>AVERAGE(Table41[Jil]) - G38</f>
        <v>49458</v>
      </c>
      <c r="H39" s="2">
        <f>AVERAGE(Table41[NetJSON]) - H38</f>
        <v>19308</v>
      </c>
      <c r="I39" s="2">
        <f>AVERAGE(Table41[Jackson]) - I38</f>
        <v>7254.4000000000005</v>
      </c>
      <c r="J39" s="2">
        <f>AVERAGE(Table41[DSL Platform Java]) - J38</f>
        <v>3780.2</v>
      </c>
      <c r="K39" s="2">
        <f>AVERAGE(Table41[Genson]) - K38</f>
        <v>35408</v>
      </c>
      <c r="L39" s="2">
        <f>AVERAGE(Table41[Boon]) - L38</f>
        <v>11953.2</v>
      </c>
      <c r="M39" s="2">
        <f>AVERAGE(Table41[Alibaba]) - M38</f>
        <v>7261.2</v>
      </c>
      <c r="N39" s="2">
        <f>AVERAGE(Table41[Gson]) - N38</f>
        <v>13842.599999999999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90682.799999999988</v>
      </c>
      <c r="D40" s="2">
        <f t="shared" si="0"/>
        <v>23218.799999999999</v>
      </c>
      <c r="E40" s="2">
        <f t="shared" ref="E40" si="1">E41 - E39 - E38</f>
        <v>82925.39999999998</v>
      </c>
      <c r="F40" s="2">
        <f t="shared" si="0"/>
        <v>70809</v>
      </c>
      <c r="G40" s="2">
        <f t="shared" si="0"/>
        <v>28120.199999999997</v>
      </c>
      <c r="H40" s="2">
        <f t="shared" si="0"/>
        <v>24007.800000000003</v>
      </c>
      <c r="I40" s="2">
        <f t="shared" ref="I40" si="2">I41 - I39 - I38</f>
        <v>11231.8</v>
      </c>
      <c r="J40" s="2">
        <f t="shared" ref="J40" si="3">J41 - J39 - J38</f>
        <v>2742.2000000000007</v>
      </c>
      <c r="K40" s="2">
        <f t="shared" ref="K40:L40" si="4">K41 - K39 - K38</f>
        <v>40920</v>
      </c>
      <c r="L40" s="2">
        <f t="shared" si="4"/>
        <v>65580.000000000015</v>
      </c>
      <c r="M40" s="2">
        <f t="shared" ref="M40" si="5">M41 - M39 - M38</f>
        <v>12967</v>
      </c>
      <c r="N40" s="2">
        <f t="shared" ref="N40" si="6">N41 - N39 - N38</f>
        <v>18265.000000000004</v>
      </c>
      <c r="O40" s="2"/>
      <c r="P40" s="2"/>
      <c r="Q40" s="2"/>
    </row>
    <row r="41" spans="2:17" x14ac:dyDescent="0.25">
      <c r="B41" t="s">
        <v>25</v>
      </c>
      <c r="C41" s="2">
        <f>AVERAGE(Table43[Newtonsoft])</f>
        <v>158296.79999999999</v>
      </c>
      <c r="D41" s="2">
        <f>AVERAGE(Table43[Revenj])</f>
        <v>49983.6</v>
      </c>
      <c r="E41" s="2">
        <f>AVERAGE(Table43[fastJSON])</f>
        <v>131529.79999999999</v>
      </c>
      <c r="F41" s="2">
        <f>AVERAGE(Table43[Service Stack])</f>
        <v>127441</v>
      </c>
      <c r="G41" s="2">
        <f>AVERAGE(Table43[Jil])</f>
        <v>84578.2</v>
      </c>
      <c r="H41" s="2">
        <f>AVERAGE(Table43[NetJSON])</f>
        <v>50250.8</v>
      </c>
      <c r="I41" s="2">
        <f>AVERAGE(Table43[Jackson])</f>
        <v>21953</v>
      </c>
      <c r="J41" s="2">
        <f>AVERAGE(Table43[DSL Platform Java])</f>
        <v>10009.6</v>
      </c>
      <c r="K41" s="2">
        <f>AVERAGE(Table43[Genson])</f>
        <v>79812.2</v>
      </c>
      <c r="L41" s="2">
        <f>AVERAGE(Table43[Boon])</f>
        <v>80988.600000000006</v>
      </c>
      <c r="M41" s="2">
        <f>AVERAGE(Table43[Alibaba])</f>
        <v>23676</v>
      </c>
      <c r="N41" s="2">
        <f>AVERAGE(Table43[Gson])</f>
        <v>35556.800000000003</v>
      </c>
      <c r="O41" s="2"/>
      <c r="P41" s="2"/>
      <c r="Q41" s="2"/>
    </row>
    <row r="42" spans="2:17" x14ac:dyDescent="0.25">
      <c r="B42" t="s">
        <v>4</v>
      </c>
      <c r="C42" s="3">
        <f>AVERAGE(Table41[Newtonsoft (size)])</f>
        <v>394468889</v>
      </c>
      <c r="D42" s="3">
        <f>AVERAGE(Table41[Revenj (size)])</f>
        <v>394428872</v>
      </c>
      <c r="E42" s="3">
        <f>AVERAGE(Table41[fastJSON (size)])</f>
        <v>394428889</v>
      </c>
      <c r="F42" s="3">
        <f>AVERAGE(Table41[Service Stack (size)])</f>
        <v>394428889</v>
      </c>
      <c r="G42" s="2">
        <f>AVERAGE(Table41[Jil (size)])</f>
        <v>394428889</v>
      </c>
      <c r="H42" s="2">
        <f>AVERAGE(Table41[NetJSON (size)])</f>
        <v>394428872</v>
      </c>
      <c r="I42" s="2">
        <f>AVERAGE(Table41[Jackson (size)])</f>
        <v>394468883</v>
      </c>
      <c r="J42" s="2">
        <f>AVERAGE(Table41[DSL Platform Java (size)])</f>
        <v>394468868</v>
      </c>
      <c r="K42" s="2">
        <f>AVERAGE(Table41[Genson (size)])</f>
        <v>394468889</v>
      </c>
      <c r="L42" s="2">
        <f>AVERAGE(Table41[Boon (size)])</f>
        <v>394468875</v>
      </c>
      <c r="M42" s="2">
        <f>AVERAGE(Table41[Alibaba (size)])</f>
        <v>394448889</v>
      </c>
      <c r="N42" s="2">
        <f>AVERAGE(Table41[Gson (size)])</f>
        <v>394468889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DEVSQ(Table41[Newtonsoft])</f>
        <v>2083690</v>
      </c>
      <c r="D47" s="2">
        <f>DEVSQ(Table41[Revenj])</f>
        <v>294604.79999999999</v>
      </c>
      <c r="E47" s="2">
        <f>DEVSQ(Table41[fastJSON])</f>
        <v>8523765.2000000011</v>
      </c>
      <c r="F47" s="2">
        <f>DEVSQ(Table41[Service Stack])</f>
        <v>4059126</v>
      </c>
      <c r="G47" s="2">
        <f>DEVSQ(Table41[Jil])</f>
        <v>1489440</v>
      </c>
      <c r="H47" s="2">
        <f>DEVSQ(Table41[NetJSON])</f>
        <v>136234</v>
      </c>
      <c r="I47" s="2">
        <f>DEVSQ(Table41[Jackson])</f>
        <v>381506.8</v>
      </c>
      <c r="J47" s="2">
        <f>DEVSQ(Table41[DSL Platform Java])</f>
        <v>12441.2</v>
      </c>
      <c r="K47" s="2">
        <f>DEVSQ(Table41[Genson])</f>
        <v>460430.80000000005</v>
      </c>
      <c r="L47" s="2">
        <f>DEVSQ(Table41[Boon])</f>
        <v>875835.2</v>
      </c>
      <c r="M47" s="2">
        <f>DEVSQ(Table41[Alibaba])</f>
        <v>928954</v>
      </c>
      <c r="N47" s="2">
        <f>DEVSQ(Table41[Gson])</f>
        <v>1515004.7999999998</v>
      </c>
      <c r="O47" s="2"/>
      <c r="P47" s="2"/>
      <c r="Q47" s="2"/>
    </row>
    <row r="48" spans="2:17" x14ac:dyDescent="0.25">
      <c r="B48" t="s">
        <v>25</v>
      </c>
      <c r="C48" s="2">
        <f>DEVSQ(Table43[Newtonsoft])</f>
        <v>3926772.7999999993</v>
      </c>
      <c r="D48" s="2">
        <f>DEVSQ(Table43[Revenj])</f>
        <v>2571895.2000000002</v>
      </c>
      <c r="E48" s="2">
        <f>DEVSQ(Table43[fastJSON])</f>
        <v>6231716.7999999998</v>
      </c>
      <c r="F48" s="2">
        <f>DEVSQ(Table43[Service Stack])</f>
        <v>22053508</v>
      </c>
      <c r="G48" s="2">
        <f>DEVSQ(Table43[Jil])</f>
        <v>21567144.800000001</v>
      </c>
      <c r="H48" s="2">
        <f>DEVSQ(Table43[NetJSON])</f>
        <v>1560654.7999999998</v>
      </c>
      <c r="I48" s="2">
        <f>DEVSQ(Table43[Jackson])</f>
        <v>3294154</v>
      </c>
      <c r="J48" s="2">
        <f>DEVSQ(Table43[DSL Platform Java])</f>
        <v>151155.19999999998</v>
      </c>
      <c r="K48" s="2">
        <f>DEVSQ(Table43[Genson])</f>
        <v>260850.80000000005</v>
      </c>
      <c r="L48" s="2">
        <f>DEVSQ(Table43[Boon])</f>
        <v>7064289.1999999993</v>
      </c>
      <c r="M48" s="2">
        <f>DEVSQ(Table43[Alibaba])</f>
        <v>6689870</v>
      </c>
      <c r="N48" s="2">
        <f>DEVSQ(Table43[Gson])</f>
        <v>493062.80000000005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6451</v>
      </c>
      <c r="C52">
        <v>6860</v>
      </c>
      <c r="D52">
        <v>6491</v>
      </c>
      <c r="E52">
        <v>6519</v>
      </c>
      <c r="F52">
        <v>7006</v>
      </c>
      <c r="G52">
        <v>7033</v>
      </c>
      <c r="H52">
        <v>3385</v>
      </c>
      <c r="I52">
        <v>3483</v>
      </c>
      <c r="J52">
        <v>3482</v>
      </c>
      <c r="K52">
        <v>3455</v>
      </c>
      <c r="L52">
        <v>3434</v>
      </c>
      <c r="M52">
        <v>3461</v>
      </c>
    </row>
    <row r="53" spans="2:25" x14ac:dyDescent="0.25">
      <c r="B53">
        <v>7371</v>
      </c>
      <c r="C53">
        <v>6574</v>
      </c>
      <c r="D53">
        <v>6719</v>
      </c>
      <c r="E53">
        <v>6925</v>
      </c>
      <c r="F53">
        <v>7193</v>
      </c>
      <c r="G53">
        <v>6717</v>
      </c>
      <c r="H53">
        <v>3485</v>
      </c>
      <c r="I53">
        <v>3507</v>
      </c>
      <c r="J53">
        <v>3516</v>
      </c>
      <c r="K53">
        <v>3449</v>
      </c>
      <c r="L53">
        <v>3420</v>
      </c>
      <c r="M53">
        <v>3411</v>
      </c>
    </row>
    <row r="54" spans="2:25" x14ac:dyDescent="0.25">
      <c r="B54">
        <v>6538</v>
      </c>
      <c r="C54">
        <v>6950</v>
      </c>
      <c r="D54">
        <v>6723</v>
      </c>
      <c r="E54">
        <v>6594</v>
      </c>
      <c r="F54">
        <v>6838</v>
      </c>
      <c r="G54">
        <v>6902</v>
      </c>
      <c r="H54">
        <v>3483</v>
      </c>
      <c r="I54">
        <v>3444</v>
      </c>
      <c r="J54">
        <v>3443</v>
      </c>
      <c r="K54">
        <v>3454</v>
      </c>
      <c r="L54">
        <v>3486</v>
      </c>
      <c r="M54">
        <v>3433</v>
      </c>
    </row>
    <row r="55" spans="2:25" x14ac:dyDescent="0.25">
      <c r="B55">
        <v>6765</v>
      </c>
      <c r="C55">
        <v>6829</v>
      </c>
      <c r="D55">
        <v>6710</v>
      </c>
      <c r="E55">
        <v>6694</v>
      </c>
      <c r="F55">
        <v>6721</v>
      </c>
      <c r="G55">
        <v>6852</v>
      </c>
      <c r="H55">
        <v>3481</v>
      </c>
      <c r="I55">
        <v>3475</v>
      </c>
      <c r="J55">
        <v>3482</v>
      </c>
      <c r="K55">
        <v>3480</v>
      </c>
      <c r="L55">
        <v>3445</v>
      </c>
      <c r="M55">
        <v>3508</v>
      </c>
    </row>
    <row r="56" spans="2:25" x14ac:dyDescent="0.25">
      <c r="B56">
        <v>6616</v>
      </c>
      <c r="C56">
        <v>6663</v>
      </c>
      <c r="D56">
        <v>6706</v>
      </c>
      <c r="E56">
        <v>6740</v>
      </c>
      <c r="F56">
        <v>7242</v>
      </c>
      <c r="G56">
        <v>7171</v>
      </c>
      <c r="H56">
        <v>3500</v>
      </c>
      <c r="I56">
        <v>3527</v>
      </c>
      <c r="J56">
        <v>3498</v>
      </c>
      <c r="K56">
        <v>3439</v>
      </c>
      <c r="L56">
        <v>3454</v>
      </c>
      <c r="M56">
        <v>3433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68581</v>
      </c>
      <c r="C60">
        <v>26778</v>
      </c>
      <c r="D60">
        <v>47149</v>
      </c>
      <c r="E60">
        <v>57514</v>
      </c>
      <c r="F60">
        <v>55484</v>
      </c>
      <c r="G60">
        <v>26389</v>
      </c>
      <c r="H60">
        <v>10532</v>
      </c>
      <c r="I60">
        <v>7364</v>
      </c>
      <c r="J60">
        <v>38775</v>
      </c>
      <c r="K60">
        <v>15356</v>
      </c>
      <c r="L60">
        <v>10305</v>
      </c>
      <c r="M60">
        <v>17233</v>
      </c>
      <c r="N60">
        <v>394468889</v>
      </c>
      <c r="O60">
        <v>394428872</v>
      </c>
      <c r="P60">
        <v>394428889</v>
      </c>
      <c r="Q60">
        <v>394428889</v>
      </c>
      <c r="R60">
        <v>394428889</v>
      </c>
      <c r="S60">
        <v>394428872</v>
      </c>
      <c r="T60">
        <v>394468883</v>
      </c>
      <c r="U60">
        <v>394468868</v>
      </c>
      <c r="V60">
        <v>394468889</v>
      </c>
      <c r="W60">
        <v>394468875</v>
      </c>
      <c r="X60">
        <v>394448889</v>
      </c>
      <c r="Y60">
        <v>394468889</v>
      </c>
    </row>
    <row r="61" spans="2:25" x14ac:dyDescent="0.25">
      <c r="B61">
        <v>66960</v>
      </c>
      <c r="C61">
        <v>26609</v>
      </c>
      <c r="D61">
        <v>47036</v>
      </c>
      <c r="E61">
        <v>55529</v>
      </c>
      <c r="F61">
        <v>56852</v>
      </c>
      <c r="G61">
        <v>26419</v>
      </c>
      <c r="H61">
        <v>10336</v>
      </c>
      <c r="I61">
        <v>7225</v>
      </c>
      <c r="J61">
        <v>39336</v>
      </c>
      <c r="K61">
        <v>15468</v>
      </c>
      <c r="L61">
        <v>11163</v>
      </c>
      <c r="M61">
        <v>16556</v>
      </c>
      <c r="N61">
        <v>394468889</v>
      </c>
      <c r="O61">
        <v>394428872</v>
      </c>
      <c r="P61">
        <v>394428889</v>
      </c>
      <c r="Q61">
        <v>394428889</v>
      </c>
      <c r="R61">
        <v>394428889</v>
      </c>
      <c r="S61">
        <v>394428872</v>
      </c>
      <c r="T61">
        <v>394468883</v>
      </c>
      <c r="U61">
        <v>394468868</v>
      </c>
      <c r="V61">
        <v>394468889</v>
      </c>
      <c r="W61">
        <v>394468875</v>
      </c>
      <c r="X61">
        <v>394448889</v>
      </c>
      <c r="Y61">
        <v>394468889</v>
      </c>
    </row>
    <row r="62" spans="2:25" x14ac:dyDescent="0.25">
      <c r="B62">
        <v>68159</v>
      </c>
      <c r="C62">
        <v>27225</v>
      </c>
      <c r="D62">
        <v>49275</v>
      </c>
      <c r="E62">
        <v>57872</v>
      </c>
      <c r="F62">
        <v>56758</v>
      </c>
      <c r="G62">
        <v>25962</v>
      </c>
      <c r="H62">
        <v>11145</v>
      </c>
      <c r="I62">
        <v>7235</v>
      </c>
      <c r="J62">
        <v>39149</v>
      </c>
      <c r="K62">
        <v>15556</v>
      </c>
      <c r="L62">
        <v>11300</v>
      </c>
      <c r="M62">
        <v>16952</v>
      </c>
      <c r="N62">
        <v>394468889</v>
      </c>
      <c r="O62">
        <v>394428872</v>
      </c>
      <c r="P62">
        <v>394428889</v>
      </c>
      <c r="Q62">
        <v>394428889</v>
      </c>
      <c r="R62">
        <v>394428889</v>
      </c>
      <c r="S62">
        <v>394428872</v>
      </c>
      <c r="T62">
        <v>394468883</v>
      </c>
      <c r="U62">
        <v>394468868</v>
      </c>
      <c r="V62">
        <v>394468889</v>
      </c>
      <c r="W62">
        <v>394468875</v>
      </c>
      <c r="X62">
        <v>394448889</v>
      </c>
      <c r="Y62">
        <v>394468889</v>
      </c>
    </row>
    <row r="63" spans="2:25" x14ac:dyDescent="0.25">
      <c r="B63">
        <v>67352</v>
      </c>
      <c r="C63">
        <v>26543</v>
      </c>
      <c r="D63">
        <v>49178</v>
      </c>
      <c r="E63">
        <v>56060</v>
      </c>
      <c r="F63">
        <v>56240</v>
      </c>
      <c r="G63">
        <v>26177</v>
      </c>
      <c r="H63">
        <v>10853</v>
      </c>
      <c r="I63">
        <v>7253</v>
      </c>
      <c r="J63">
        <v>38683</v>
      </c>
      <c r="K63">
        <v>15978</v>
      </c>
      <c r="L63">
        <v>10438</v>
      </c>
      <c r="M63">
        <v>17534</v>
      </c>
      <c r="N63">
        <v>394468889</v>
      </c>
      <c r="O63">
        <v>394428872</v>
      </c>
      <c r="P63">
        <v>394428889</v>
      </c>
      <c r="Q63">
        <v>394428889</v>
      </c>
      <c r="R63">
        <v>394428889</v>
      </c>
      <c r="S63">
        <v>394428872</v>
      </c>
      <c r="T63">
        <v>394468883</v>
      </c>
      <c r="U63">
        <v>394468868</v>
      </c>
      <c r="V63">
        <v>394468889</v>
      </c>
      <c r="W63">
        <v>394468875</v>
      </c>
      <c r="X63">
        <v>394448889</v>
      </c>
      <c r="Y63">
        <v>394468889</v>
      </c>
    </row>
    <row r="64" spans="2:25" x14ac:dyDescent="0.25">
      <c r="B64">
        <v>67018</v>
      </c>
      <c r="C64">
        <v>26669</v>
      </c>
      <c r="D64">
        <v>50384</v>
      </c>
      <c r="E64">
        <v>56185</v>
      </c>
      <c r="F64">
        <v>56956</v>
      </c>
      <c r="G64">
        <v>26268</v>
      </c>
      <c r="H64">
        <v>10740</v>
      </c>
      <c r="I64">
        <v>7260</v>
      </c>
      <c r="J64">
        <v>38518</v>
      </c>
      <c r="K64">
        <v>14685</v>
      </c>
      <c r="L64">
        <v>10339</v>
      </c>
      <c r="M64">
        <v>18184</v>
      </c>
      <c r="N64">
        <v>394468889</v>
      </c>
      <c r="O64">
        <v>394428872</v>
      </c>
      <c r="P64">
        <v>394428889</v>
      </c>
      <c r="Q64">
        <v>394428889</v>
      </c>
      <c r="R64">
        <v>394428889</v>
      </c>
      <c r="S64">
        <v>394428872</v>
      </c>
      <c r="T64">
        <v>394468883</v>
      </c>
      <c r="U64">
        <v>394468868</v>
      </c>
      <c r="V64">
        <v>394468889</v>
      </c>
      <c r="W64">
        <v>394468875</v>
      </c>
      <c r="X64">
        <v>394448889</v>
      </c>
      <c r="Y64">
        <v>394468889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156555</v>
      </c>
      <c r="C68">
        <v>49833</v>
      </c>
      <c r="D68">
        <v>131428</v>
      </c>
      <c r="E68">
        <v>130089</v>
      </c>
      <c r="F68">
        <v>83698</v>
      </c>
      <c r="G68">
        <v>50686</v>
      </c>
      <c r="H68">
        <v>21333</v>
      </c>
      <c r="I68">
        <v>9820</v>
      </c>
      <c r="J68">
        <v>80011</v>
      </c>
      <c r="K68">
        <v>81428</v>
      </c>
      <c r="L68">
        <v>25542</v>
      </c>
      <c r="M68">
        <v>35458</v>
      </c>
    </row>
    <row r="69" spans="2:13" x14ac:dyDescent="0.25">
      <c r="B69">
        <v>158445</v>
      </c>
      <c r="C69">
        <v>50677</v>
      </c>
      <c r="D69">
        <v>130704</v>
      </c>
      <c r="E69">
        <v>126264</v>
      </c>
      <c r="F69">
        <v>85174</v>
      </c>
      <c r="G69">
        <v>49202</v>
      </c>
      <c r="H69">
        <v>22960</v>
      </c>
      <c r="I69">
        <v>10080</v>
      </c>
      <c r="J69">
        <v>79375</v>
      </c>
      <c r="K69">
        <v>79184</v>
      </c>
      <c r="L69">
        <v>21892</v>
      </c>
      <c r="M69">
        <v>35181</v>
      </c>
    </row>
    <row r="70" spans="2:13" x14ac:dyDescent="0.25">
      <c r="B70">
        <v>158939</v>
      </c>
      <c r="C70">
        <v>49998</v>
      </c>
      <c r="D70">
        <v>130366</v>
      </c>
      <c r="E70">
        <v>126406</v>
      </c>
      <c r="F70">
        <v>81490</v>
      </c>
      <c r="G70">
        <v>50345</v>
      </c>
      <c r="H70">
        <v>20853</v>
      </c>
      <c r="I70">
        <v>9796</v>
      </c>
      <c r="J70">
        <v>79882</v>
      </c>
      <c r="K70">
        <v>80087</v>
      </c>
      <c r="L70">
        <v>23577</v>
      </c>
      <c r="M70">
        <v>35451</v>
      </c>
    </row>
    <row r="71" spans="2:13" x14ac:dyDescent="0.25">
      <c r="B71">
        <v>158718</v>
      </c>
      <c r="C71">
        <v>48727</v>
      </c>
      <c r="D71">
        <v>131576</v>
      </c>
      <c r="E71">
        <v>124724</v>
      </c>
      <c r="F71">
        <v>87879</v>
      </c>
      <c r="G71">
        <v>50763</v>
      </c>
      <c r="H71">
        <v>22774</v>
      </c>
      <c r="I71">
        <v>10108</v>
      </c>
      <c r="J71">
        <v>79971</v>
      </c>
      <c r="K71">
        <v>82463</v>
      </c>
      <c r="L71">
        <v>23597</v>
      </c>
      <c r="M71">
        <v>36132</v>
      </c>
    </row>
    <row r="72" spans="2:13" x14ac:dyDescent="0.25">
      <c r="B72">
        <v>158827</v>
      </c>
      <c r="C72">
        <v>50683</v>
      </c>
      <c r="D72">
        <v>133575</v>
      </c>
      <c r="E72">
        <v>129722</v>
      </c>
      <c r="F72">
        <v>84650</v>
      </c>
      <c r="G72">
        <v>50258</v>
      </c>
      <c r="H72">
        <v>21845</v>
      </c>
      <c r="I72">
        <v>10244</v>
      </c>
      <c r="J72">
        <v>79822</v>
      </c>
      <c r="K72">
        <v>81781</v>
      </c>
      <c r="L72">
        <v>23772</v>
      </c>
      <c r="M72">
        <v>35562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72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42</v>
      </c>
    </row>
    <row r="37" spans="2:17" x14ac:dyDescent="0.25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AVERAGE(Table47[Newtonsoft])</f>
        <v>334.6</v>
      </c>
      <c r="D38" s="2">
        <f>AVERAGE(Table47[Revenj])</f>
        <v>331.4</v>
      </c>
      <c r="E38" s="2">
        <f>AVERAGE(Table47[fastJSON])</f>
        <v>342</v>
      </c>
      <c r="F38" s="2">
        <f>AVERAGE(Table47[Service Stack])</f>
        <v>343.6</v>
      </c>
      <c r="G38" s="2">
        <f>AVERAGE(Table47[Jil])</f>
        <v>342</v>
      </c>
      <c r="H38" s="2">
        <f>AVERAGE(Table47[NetJSON])</f>
        <v>339.8</v>
      </c>
      <c r="I38" s="2">
        <f>AVERAGE(Table47[Jackson])</f>
        <v>369.2</v>
      </c>
      <c r="J38" s="2">
        <f>AVERAGE(Table47[DSL Platform Java])</f>
        <v>337.8</v>
      </c>
      <c r="K38" s="2">
        <f>AVERAGE(Table47[Genson])</f>
        <v>366.6</v>
      </c>
      <c r="L38" s="2">
        <f>AVERAGE(Table47[Boon])</f>
        <v>371.8</v>
      </c>
      <c r="M38" s="2">
        <f>AVERAGE(Table47[Alibaba])</f>
        <v>375.6</v>
      </c>
      <c r="N38" s="2">
        <f>AVERAGE(Table47[Gson])</f>
        <v>369.2</v>
      </c>
      <c r="O38" s="2"/>
      <c r="P38" s="2"/>
      <c r="Q38" s="2"/>
    </row>
    <row r="39" spans="2:17" x14ac:dyDescent="0.25">
      <c r="B39" t="s">
        <v>0</v>
      </c>
      <c r="C39" s="2">
        <f>AVERAGE(Table46[Newtonsoft]) - C38</f>
        <v>559.19999999999993</v>
      </c>
      <c r="D39" s="2">
        <f>AVERAGE(Table46[Revenj]) - D38</f>
        <v>198.39999999999998</v>
      </c>
      <c r="E39" s="2">
        <f>AVERAGE(Table46[fastJSON]) - E38</f>
        <v>1045</v>
      </c>
      <c r="F39" s="2">
        <f>AVERAGE(Table46[Service Stack]) - F38</f>
        <v>578.6</v>
      </c>
      <c r="G39" s="2">
        <f>AVERAGE(Table46[Jil]) - G38</f>
        <v>555.79999999999995</v>
      </c>
      <c r="H39" s="2" t="e">
        <f>AVERAGE(Table46[NetJSON]) - H38</f>
        <v>#DIV/0!</v>
      </c>
      <c r="I39" s="2">
        <f>AVERAGE(Table46[Jackson]) - I38</f>
        <v>265.8</v>
      </c>
      <c r="J39" s="2">
        <f>AVERAGE(Table46[DSL Platform Java]) - J38</f>
        <v>83.199999999999989</v>
      </c>
      <c r="K39" s="2">
        <f>AVERAGE(Table46[Genson]) - K38</f>
        <v>571.79999999999995</v>
      </c>
      <c r="L39" s="2">
        <f>AVERAGE(Table46[Boon]) - L38</f>
        <v>317.59999999999997</v>
      </c>
      <c r="M39" s="4" t="s">
        <v>53</v>
      </c>
      <c r="N39" s="2">
        <f>AVERAGE(Table46[Gson]) - N38</f>
        <v>511.00000000000006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1116.8000000000002</v>
      </c>
      <c r="D40" s="2">
        <f t="shared" si="0"/>
        <v>376</v>
      </c>
      <c r="E40" s="2">
        <f t="shared" ref="E40" si="1">E41 - E39 - E38</f>
        <v>1122</v>
      </c>
      <c r="F40" s="2">
        <f t="shared" si="0"/>
        <v>1074.4000000000001</v>
      </c>
      <c r="G40" s="2">
        <f t="shared" si="0"/>
        <v>435.40000000000009</v>
      </c>
      <c r="H40" s="2" t="e">
        <f t="shared" si="0"/>
        <v>#DIV/0!</v>
      </c>
      <c r="I40" s="2">
        <f t="shared" ref="I40" si="2">I41 - I39 - I38</f>
        <v>454.8</v>
      </c>
      <c r="J40" s="2">
        <f t="shared" ref="J40" si="3">J41 - J39 - J38</f>
        <v>65</v>
      </c>
      <c r="K40" s="2">
        <f t="shared" ref="K40:L40" si="4">K41 - K39 - K38</f>
        <v>422.4</v>
      </c>
      <c r="L40" s="2" t="e">
        <f t="shared" si="4"/>
        <v>#DIV/0!</v>
      </c>
      <c r="M40" s="4" t="s">
        <v>53</v>
      </c>
      <c r="N40" s="2">
        <f t="shared" ref="N40" si="5">N41 - N39 - N38</f>
        <v>702.8</v>
      </c>
      <c r="O40" s="2"/>
      <c r="P40" s="2"/>
      <c r="Q40" s="2"/>
    </row>
    <row r="41" spans="2:17" x14ac:dyDescent="0.25">
      <c r="B41" t="s">
        <v>25</v>
      </c>
      <c r="C41" s="2">
        <f>AVERAGE(Table48[Newtonsoft])</f>
        <v>2010.6</v>
      </c>
      <c r="D41" s="2">
        <f>AVERAGE(Table48[Revenj])</f>
        <v>905.8</v>
      </c>
      <c r="E41" s="2">
        <f>AVERAGE(Table48[fastJSON])</f>
        <v>2509</v>
      </c>
      <c r="F41" s="2">
        <f>AVERAGE(Table48[Service Stack])</f>
        <v>1996.6</v>
      </c>
      <c r="G41" s="2">
        <f>AVERAGE(Table48[Jil])</f>
        <v>1333.2</v>
      </c>
      <c r="H41" s="2" t="e">
        <f>AVERAGE(Table48[NetJSON])</f>
        <v>#DIV/0!</v>
      </c>
      <c r="I41" s="2">
        <f>AVERAGE(Table48[Jackson])</f>
        <v>1089.8</v>
      </c>
      <c r="J41" s="2">
        <f>AVERAGE(Table48[DSL Platform Java])</f>
        <v>486</v>
      </c>
      <c r="K41" s="2">
        <f>AVERAGE(Table48[Genson])</f>
        <v>1360.8</v>
      </c>
      <c r="L41" s="2" t="e">
        <f>AVERAGE(Table48[Boon])</f>
        <v>#DIV/0!</v>
      </c>
      <c r="M41" s="2">
        <f>AVERAGE(Table48[Alibaba])</f>
        <v>5765.6</v>
      </c>
      <c r="N41" s="2">
        <f>AVERAGE(Table48[Gson])</f>
        <v>1583</v>
      </c>
      <c r="O41" s="2"/>
      <c r="P41" s="2"/>
      <c r="Q41" s="2"/>
    </row>
    <row r="42" spans="2:17" x14ac:dyDescent="0.25">
      <c r="B42" t="s">
        <v>4</v>
      </c>
      <c r="C42" s="3">
        <f>AVERAGE(Table46[Newtonsoft (size)])</f>
        <v>11938890</v>
      </c>
      <c r="D42" s="3">
        <f>AVERAGE(Table46[Revenj (size)])</f>
        <v>10188890</v>
      </c>
      <c r="E42" s="3">
        <f>AVERAGE(Table46[fastJSON (size)])</f>
        <v>10738890</v>
      </c>
      <c r="F42" s="3">
        <f>AVERAGE(Table46[Service Stack (size)])</f>
        <v>11838890</v>
      </c>
      <c r="G42" s="2">
        <f>AVERAGE(Table46[Jil (size)])</f>
        <v>12238890</v>
      </c>
      <c r="H42" s="2" t="e">
        <f>AVERAGE(Table46[NetJSON (size)])</f>
        <v>#DIV/0!</v>
      </c>
      <c r="I42" s="2">
        <f>AVERAGE(Table46[Jackson (size)])</f>
        <v>10188890</v>
      </c>
      <c r="J42" s="2">
        <f>AVERAGE(Table46[DSL Platform Java (size)])</f>
        <v>10188890</v>
      </c>
      <c r="K42" s="2">
        <f>AVERAGE(Table46[Genson (size)])</f>
        <v>10938890</v>
      </c>
      <c r="L42" s="2">
        <f>AVERAGE(Table46[Boon (size)])</f>
        <v>8988890</v>
      </c>
      <c r="M42" s="4" t="s">
        <v>53</v>
      </c>
      <c r="N42" s="2">
        <f>AVERAGE(Table46[Gson (size)])</f>
        <v>10938890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DEVSQ(Table46[Newtonsoft])</f>
        <v>394.8</v>
      </c>
      <c r="D47" s="2">
        <f>DEVSQ(Table46[Revenj])</f>
        <v>216.8</v>
      </c>
      <c r="E47" s="2">
        <f>DEVSQ(Table46[fastJSON])</f>
        <v>2374</v>
      </c>
      <c r="F47" s="2">
        <f>DEVSQ(Table46[Service Stack])</f>
        <v>428.8</v>
      </c>
      <c r="G47" s="2">
        <f>DEVSQ(Table46[Jil])</f>
        <v>546.79999999999995</v>
      </c>
      <c r="H47" s="2" t="e">
        <f>DEVSQ(Table46[NetJSON])</f>
        <v>#NUM!</v>
      </c>
      <c r="I47" s="2">
        <f>DEVSQ(Table46[Jackson])</f>
        <v>860</v>
      </c>
      <c r="J47" s="2">
        <f>DEVSQ(Table46[DSL Platform Java])</f>
        <v>626</v>
      </c>
      <c r="K47" s="2">
        <f>DEVSQ(Table46[Genson])</f>
        <v>557.19999999999993</v>
      </c>
      <c r="L47" s="2">
        <f>DEVSQ(Table46[Boon])</f>
        <v>1323.2000000000003</v>
      </c>
      <c r="M47" s="2">
        <f>DEVSQ(Table46[Alibaba])</f>
        <v>2557.1999999999998</v>
      </c>
      <c r="N47" s="2">
        <f>DEVSQ(Table46[Gson])</f>
        <v>6036.7999999999993</v>
      </c>
      <c r="O47" s="2"/>
      <c r="P47" s="2"/>
      <c r="Q47" s="2"/>
    </row>
    <row r="48" spans="2:17" x14ac:dyDescent="0.25">
      <c r="B48" t="s">
        <v>25</v>
      </c>
      <c r="C48" s="2">
        <f>DEVSQ(Table48[Newtonsoft])</f>
        <v>587.20000000000005</v>
      </c>
      <c r="D48" s="2">
        <f>DEVSQ(Table48[Revenj])</f>
        <v>640.79999999999995</v>
      </c>
      <c r="E48" s="2">
        <f>DEVSQ(Table48[fastJSON])</f>
        <v>1630</v>
      </c>
      <c r="F48" s="2">
        <f>DEVSQ(Table48[Service Stack])</f>
        <v>455.20000000000005</v>
      </c>
      <c r="G48" s="2">
        <f>DEVSQ(Table48[Jil])</f>
        <v>2966.7999999999997</v>
      </c>
      <c r="H48" s="2" t="e">
        <f>DEVSQ(Table48[NetJSON])</f>
        <v>#NUM!</v>
      </c>
      <c r="I48" s="2">
        <f>DEVSQ(Table48[Jackson])</f>
        <v>4506.7999999999993</v>
      </c>
      <c r="J48" s="2">
        <f>DEVSQ(Table48[DSL Platform Java])</f>
        <v>70</v>
      </c>
      <c r="K48" s="2">
        <f>DEVSQ(Table48[Genson])</f>
        <v>330.8</v>
      </c>
      <c r="L48" s="2" t="e">
        <f>DEVSQ(Table48[Boon])</f>
        <v>#NUM!</v>
      </c>
      <c r="M48" s="2">
        <f>DEVSQ(Table48[Alibaba])</f>
        <v>90023.200000000012</v>
      </c>
      <c r="N48" s="2">
        <f>DEVSQ(Table48[Gson])</f>
        <v>23544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332</v>
      </c>
      <c r="C52">
        <v>333</v>
      </c>
      <c r="D52">
        <v>343</v>
      </c>
      <c r="E52">
        <v>338</v>
      </c>
      <c r="F52">
        <v>323</v>
      </c>
      <c r="G52">
        <v>342</v>
      </c>
      <c r="H52">
        <v>369</v>
      </c>
      <c r="I52">
        <v>336</v>
      </c>
      <c r="J52">
        <v>359</v>
      </c>
      <c r="K52">
        <v>377</v>
      </c>
      <c r="L52">
        <v>378</v>
      </c>
      <c r="M52">
        <v>373</v>
      </c>
    </row>
    <row r="53" spans="2:25" x14ac:dyDescent="0.25">
      <c r="B53">
        <v>339</v>
      </c>
      <c r="C53">
        <v>337</v>
      </c>
      <c r="D53">
        <v>331</v>
      </c>
      <c r="E53">
        <v>341</v>
      </c>
      <c r="F53">
        <v>346</v>
      </c>
      <c r="G53">
        <v>339</v>
      </c>
      <c r="H53">
        <v>364</v>
      </c>
      <c r="I53">
        <v>326</v>
      </c>
      <c r="J53">
        <v>363</v>
      </c>
      <c r="K53">
        <v>368</v>
      </c>
      <c r="L53">
        <v>373</v>
      </c>
      <c r="M53">
        <v>362</v>
      </c>
    </row>
    <row r="54" spans="2:25" x14ac:dyDescent="0.25">
      <c r="B54">
        <v>344</v>
      </c>
      <c r="C54">
        <v>330</v>
      </c>
      <c r="D54">
        <v>343</v>
      </c>
      <c r="E54">
        <v>357</v>
      </c>
      <c r="F54">
        <v>336</v>
      </c>
      <c r="G54">
        <v>335</v>
      </c>
      <c r="H54">
        <v>369</v>
      </c>
      <c r="I54">
        <v>335</v>
      </c>
      <c r="J54">
        <v>371</v>
      </c>
      <c r="K54">
        <v>378</v>
      </c>
      <c r="L54">
        <v>373</v>
      </c>
      <c r="M54">
        <v>380</v>
      </c>
    </row>
    <row r="55" spans="2:25" x14ac:dyDescent="0.25">
      <c r="B55">
        <v>321</v>
      </c>
      <c r="C55">
        <v>328</v>
      </c>
      <c r="D55">
        <v>348</v>
      </c>
      <c r="E55">
        <v>337</v>
      </c>
      <c r="F55">
        <v>349</v>
      </c>
      <c r="G55">
        <v>334</v>
      </c>
      <c r="H55">
        <v>368</v>
      </c>
      <c r="I55">
        <v>350</v>
      </c>
      <c r="J55">
        <v>380</v>
      </c>
      <c r="K55">
        <v>370</v>
      </c>
      <c r="L55">
        <v>380</v>
      </c>
      <c r="M55">
        <v>362</v>
      </c>
    </row>
    <row r="56" spans="2:25" x14ac:dyDescent="0.25">
      <c r="B56">
        <v>337</v>
      </c>
      <c r="C56">
        <v>329</v>
      </c>
      <c r="D56">
        <v>345</v>
      </c>
      <c r="E56">
        <v>345</v>
      </c>
      <c r="F56">
        <v>356</v>
      </c>
      <c r="G56">
        <v>349</v>
      </c>
      <c r="H56">
        <v>376</v>
      </c>
      <c r="I56">
        <v>342</v>
      </c>
      <c r="J56">
        <v>360</v>
      </c>
      <c r="K56">
        <v>366</v>
      </c>
      <c r="L56">
        <v>374</v>
      </c>
      <c r="M56">
        <v>369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901</v>
      </c>
      <c r="C60">
        <v>526</v>
      </c>
      <c r="D60">
        <v>1395</v>
      </c>
      <c r="E60">
        <v>917</v>
      </c>
      <c r="F60">
        <v>912</v>
      </c>
      <c r="H60">
        <v>658</v>
      </c>
      <c r="I60">
        <v>405</v>
      </c>
      <c r="J60">
        <v>959</v>
      </c>
      <c r="K60">
        <v>717</v>
      </c>
      <c r="L60">
        <v>2575</v>
      </c>
      <c r="M60">
        <v>878</v>
      </c>
      <c r="N60">
        <v>11938890</v>
      </c>
      <c r="O60">
        <v>10188890</v>
      </c>
      <c r="P60">
        <v>10738890</v>
      </c>
      <c r="Q60">
        <v>11838890</v>
      </c>
      <c r="R60">
        <v>12238890</v>
      </c>
      <c r="T60">
        <v>10188890</v>
      </c>
      <c r="U60">
        <v>10188890</v>
      </c>
      <c r="V60">
        <v>10938890</v>
      </c>
      <c r="W60">
        <v>8988890</v>
      </c>
      <c r="X60">
        <v>195966170</v>
      </c>
      <c r="Y60">
        <v>10938890</v>
      </c>
    </row>
    <row r="61" spans="2:25" x14ac:dyDescent="0.25">
      <c r="B61">
        <v>896</v>
      </c>
      <c r="C61">
        <v>520</v>
      </c>
      <c r="D61">
        <v>1385</v>
      </c>
      <c r="E61">
        <v>910</v>
      </c>
      <c r="F61">
        <v>901</v>
      </c>
      <c r="H61">
        <v>640</v>
      </c>
      <c r="I61">
        <v>440</v>
      </c>
      <c r="J61">
        <v>932</v>
      </c>
      <c r="K61">
        <v>687</v>
      </c>
      <c r="L61">
        <v>2604</v>
      </c>
      <c r="M61">
        <v>908</v>
      </c>
      <c r="N61">
        <v>11938890</v>
      </c>
      <c r="O61">
        <v>10188890</v>
      </c>
      <c r="P61">
        <v>10738890</v>
      </c>
      <c r="Q61">
        <v>11838890</v>
      </c>
      <c r="R61">
        <v>12238890</v>
      </c>
      <c r="T61">
        <v>10188890</v>
      </c>
      <c r="U61">
        <v>10188890</v>
      </c>
      <c r="V61">
        <v>10938890</v>
      </c>
      <c r="W61">
        <v>8988890</v>
      </c>
      <c r="X61">
        <v>195966170</v>
      </c>
      <c r="Y61">
        <v>10938890</v>
      </c>
    </row>
    <row r="62" spans="2:25" x14ac:dyDescent="0.25">
      <c r="B62">
        <v>884</v>
      </c>
      <c r="C62">
        <v>529</v>
      </c>
      <c r="D62">
        <v>1424</v>
      </c>
      <c r="E62">
        <v>924</v>
      </c>
      <c r="F62">
        <v>904</v>
      </c>
      <c r="H62">
        <v>631</v>
      </c>
      <c r="I62">
        <v>419</v>
      </c>
      <c r="J62">
        <v>937</v>
      </c>
      <c r="K62">
        <v>667</v>
      </c>
      <c r="L62">
        <v>2629</v>
      </c>
      <c r="M62">
        <v>862</v>
      </c>
      <c r="N62">
        <v>11938890</v>
      </c>
      <c r="O62">
        <v>10188890</v>
      </c>
      <c r="P62">
        <v>10738890</v>
      </c>
      <c r="Q62">
        <v>11838890</v>
      </c>
      <c r="R62">
        <v>12238890</v>
      </c>
      <c r="T62">
        <v>10188890</v>
      </c>
      <c r="U62">
        <v>10188890</v>
      </c>
      <c r="V62">
        <v>10938890</v>
      </c>
      <c r="W62">
        <v>8988890</v>
      </c>
      <c r="X62">
        <v>195966170</v>
      </c>
      <c r="Y62">
        <v>10938890</v>
      </c>
    </row>
    <row r="63" spans="2:25" x14ac:dyDescent="0.25">
      <c r="B63">
        <v>883</v>
      </c>
      <c r="C63">
        <v>536</v>
      </c>
      <c r="D63">
        <v>1368</v>
      </c>
      <c r="E63">
        <v>922</v>
      </c>
      <c r="F63">
        <v>889</v>
      </c>
      <c r="H63">
        <v>624</v>
      </c>
      <c r="I63">
        <v>419</v>
      </c>
      <c r="J63">
        <v>934</v>
      </c>
      <c r="K63">
        <v>683</v>
      </c>
      <c r="L63">
        <v>2620</v>
      </c>
      <c r="M63">
        <v>926</v>
      </c>
      <c r="N63">
        <v>11938890</v>
      </c>
      <c r="O63">
        <v>10188890</v>
      </c>
      <c r="P63">
        <v>10738890</v>
      </c>
      <c r="Q63">
        <v>11838890</v>
      </c>
      <c r="R63">
        <v>12238890</v>
      </c>
      <c r="T63">
        <v>10188890</v>
      </c>
      <c r="U63">
        <v>10188890</v>
      </c>
      <c r="V63">
        <v>10938890</v>
      </c>
      <c r="W63">
        <v>8988890</v>
      </c>
      <c r="X63">
        <v>195966172</v>
      </c>
      <c r="Y63">
        <v>10938890</v>
      </c>
    </row>
    <row r="64" spans="2:25" x14ac:dyDescent="0.25">
      <c r="B64">
        <v>905</v>
      </c>
      <c r="C64">
        <v>538</v>
      </c>
      <c r="D64">
        <v>1363</v>
      </c>
      <c r="E64">
        <v>938</v>
      </c>
      <c r="F64">
        <v>883</v>
      </c>
      <c r="H64">
        <v>622</v>
      </c>
      <c r="I64">
        <v>422</v>
      </c>
      <c r="J64">
        <v>930</v>
      </c>
      <c r="K64">
        <v>693</v>
      </c>
      <c r="L64">
        <v>2574</v>
      </c>
      <c r="M64">
        <v>827</v>
      </c>
      <c r="N64">
        <v>11938890</v>
      </c>
      <c r="O64">
        <v>10188890</v>
      </c>
      <c r="P64">
        <v>10738890</v>
      </c>
      <c r="Q64">
        <v>11838890</v>
      </c>
      <c r="R64">
        <v>12238890</v>
      </c>
      <c r="T64">
        <v>10188890</v>
      </c>
      <c r="U64">
        <v>10188890</v>
      </c>
      <c r="V64">
        <v>10938890</v>
      </c>
      <c r="W64">
        <v>8988890</v>
      </c>
      <c r="X64">
        <v>195966172</v>
      </c>
      <c r="Y64">
        <v>10938890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1999</v>
      </c>
      <c r="C68">
        <v>897</v>
      </c>
      <c r="D68">
        <v>2508</v>
      </c>
      <c r="E68">
        <v>1996</v>
      </c>
      <c r="F68">
        <v>1328</v>
      </c>
      <c r="H68">
        <v>1093</v>
      </c>
      <c r="I68">
        <v>491</v>
      </c>
      <c r="J68">
        <v>1346</v>
      </c>
      <c r="L68">
        <v>5643</v>
      </c>
      <c r="M68">
        <v>1667</v>
      </c>
    </row>
    <row r="69" spans="2:13" x14ac:dyDescent="0.25">
      <c r="B69">
        <v>2001</v>
      </c>
      <c r="C69">
        <v>892</v>
      </c>
      <c r="D69">
        <v>2509</v>
      </c>
      <c r="E69">
        <v>1992</v>
      </c>
      <c r="F69">
        <v>1374</v>
      </c>
      <c r="H69">
        <v>1057</v>
      </c>
      <c r="I69">
        <v>488</v>
      </c>
      <c r="J69">
        <v>1368</v>
      </c>
      <c r="L69">
        <v>5831</v>
      </c>
      <c r="M69">
        <v>1497</v>
      </c>
    </row>
    <row r="70" spans="2:13" x14ac:dyDescent="0.25">
      <c r="B70">
        <v>2009</v>
      </c>
      <c r="C70">
        <v>924</v>
      </c>
      <c r="D70">
        <v>2531</v>
      </c>
      <c r="E70">
        <v>2003</v>
      </c>
      <c r="F70">
        <v>1312</v>
      </c>
      <c r="H70">
        <v>1138</v>
      </c>
      <c r="I70">
        <v>480</v>
      </c>
      <c r="J70">
        <v>1368</v>
      </c>
      <c r="L70">
        <v>6000</v>
      </c>
      <c r="M70">
        <v>1563</v>
      </c>
    </row>
    <row r="71" spans="2:13" x14ac:dyDescent="0.25">
      <c r="B71">
        <v>2029</v>
      </c>
      <c r="C71">
        <v>904</v>
      </c>
      <c r="D71">
        <v>2520</v>
      </c>
      <c r="E71">
        <v>2010</v>
      </c>
      <c r="F71">
        <v>1345</v>
      </c>
      <c r="H71">
        <v>1102</v>
      </c>
      <c r="I71">
        <v>484</v>
      </c>
      <c r="J71">
        <v>1363</v>
      </c>
      <c r="L71">
        <v>5671</v>
      </c>
      <c r="M71">
        <v>1529</v>
      </c>
    </row>
    <row r="72" spans="2:13" x14ac:dyDescent="0.25">
      <c r="B72">
        <v>2015</v>
      </c>
      <c r="C72">
        <v>912</v>
      </c>
      <c r="D72">
        <v>2477</v>
      </c>
      <c r="E72">
        <v>1982</v>
      </c>
      <c r="F72">
        <v>1307</v>
      </c>
      <c r="H72">
        <v>1059</v>
      </c>
      <c r="I72">
        <v>487</v>
      </c>
      <c r="J72">
        <v>1359</v>
      </c>
      <c r="L72">
        <v>5683</v>
      </c>
      <c r="M72">
        <v>1659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72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43</v>
      </c>
    </row>
    <row r="37" spans="2:17" x14ac:dyDescent="0.25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AVERAGE(Table52[Newtonsoft])</f>
        <v>3227.6</v>
      </c>
      <c r="D38" s="2">
        <f>AVERAGE(Table52[Revenj])</f>
        <v>3236.6</v>
      </c>
      <c r="E38" s="2">
        <f>AVERAGE(Table52[fastJSON])</f>
        <v>3315.8</v>
      </c>
      <c r="F38" s="2">
        <f>AVERAGE(Table52[Service Stack])</f>
        <v>3264</v>
      </c>
      <c r="G38" s="2">
        <f>AVERAGE(Table52[Jil])</f>
        <v>3283.4</v>
      </c>
      <c r="H38" s="2">
        <f>AVERAGE(Table52[NetJSON])</f>
        <v>3313.4</v>
      </c>
      <c r="I38" s="2">
        <f>AVERAGE(Table52[Jackson])</f>
        <v>2509.1999999999998</v>
      </c>
      <c r="J38" s="2">
        <f>AVERAGE(Table52[DSL Platform Java])</f>
        <v>2478.1999999999998</v>
      </c>
      <c r="K38" s="2">
        <f>AVERAGE(Table52[Genson])</f>
        <v>2478.1999999999998</v>
      </c>
      <c r="L38" s="2">
        <f>AVERAGE(Table52[Boon])</f>
        <v>2481.4</v>
      </c>
      <c r="M38" s="2">
        <f>AVERAGE(Table52[Alibaba])</f>
        <v>2461.1999999999998</v>
      </c>
      <c r="N38" s="2">
        <f>AVERAGE(Table52[Gson])</f>
        <v>2478.8000000000002</v>
      </c>
      <c r="O38" s="2"/>
      <c r="P38" s="2"/>
      <c r="Q38" s="2"/>
    </row>
    <row r="39" spans="2:17" x14ac:dyDescent="0.25">
      <c r="B39" t="s">
        <v>0</v>
      </c>
      <c r="C39" s="2">
        <f>AVERAGE(Table51[Newtonsoft]) - C38</f>
        <v>5569.6</v>
      </c>
      <c r="D39" s="2">
        <f>AVERAGE(Table51[Revenj]) - D38</f>
        <v>2116.7999999999997</v>
      </c>
      <c r="E39" s="2">
        <f>AVERAGE(Table51[fastJSON]) - E38</f>
        <v>10447.200000000001</v>
      </c>
      <c r="F39" s="2">
        <f>AVERAGE(Table51[Service Stack]) - F38</f>
        <v>5894.4</v>
      </c>
      <c r="G39" s="2">
        <f>AVERAGE(Table51[Jil]) - G38</f>
        <v>5631</v>
      </c>
      <c r="H39" s="2" t="e">
        <f>AVERAGE(Table51[NetJSON]) - H38</f>
        <v>#DIV/0!</v>
      </c>
      <c r="I39" s="2">
        <f>AVERAGE(Table51[Jackson]) - I38</f>
        <v>1847.4000000000005</v>
      </c>
      <c r="J39" s="2">
        <f>AVERAGE(Table51[DSL Platform Java]) - J38</f>
        <v>474</v>
      </c>
      <c r="K39" s="2">
        <f>AVERAGE(Table51[Genson]) - K38</f>
        <v>4864.8</v>
      </c>
      <c r="L39" s="2">
        <f>AVERAGE(Table51[Boon]) - L38</f>
        <v>2268.7999999999997</v>
      </c>
      <c r="M39" s="4" t="s">
        <v>53</v>
      </c>
      <c r="N39" s="2">
        <f>AVERAGE(Table51[Gson]) - N38</f>
        <v>3232.5999999999995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11212.8</v>
      </c>
      <c r="D40" s="2">
        <f t="shared" si="0"/>
        <v>3514.0000000000005</v>
      </c>
      <c r="E40" s="2">
        <f t="shared" ref="E40" si="1">E41 - E39 - E38</f>
        <v>10955.8</v>
      </c>
      <c r="F40" s="2">
        <f t="shared" si="0"/>
        <v>10662.000000000002</v>
      </c>
      <c r="G40" s="2">
        <f t="shared" si="0"/>
        <v>4186.3999999999996</v>
      </c>
      <c r="H40" s="2" t="e">
        <f t="shared" si="0"/>
        <v>#DIV/0!</v>
      </c>
      <c r="I40" s="2">
        <f t="shared" ref="I40" si="2">I41 - I39 - I38</f>
        <v>2376</v>
      </c>
      <c r="J40" s="2">
        <f t="shared" ref="J40" si="3">J41 - J39 - J38</f>
        <v>611.20000000000027</v>
      </c>
      <c r="K40" s="2">
        <f t="shared" ref="K40:L40" si="4">K41 - K39 - K38</f>
        <v>4245</v>
      </c>
      <c r="L40" s="2" t="e">
        <f t="shared" si="4"/>
        <v>#DIV/0!</v>
      </c>
      <c r="M40" s="4" t="s">
        <v>53</v>
      </c>
      <c r="N40" s="2">
        <f t="shared" ref="N40" si="5">N41 - N39 - N38</f>
        <v>5305.8000000000011</v>
      </c>
      <c r="O40" s="2"/>
      <c r="P40" s="2"/>
      <c r="Q40" s="2"/>
    </row>
    <row r="41" spans="2:17" x14ac:dyDescent="0.25">
      <c r="B41" t="s">
        <v>25</v>
      </c>
      <c r="C41" s="2">
        <f>AVERAGE(Table53[Newtonsoft])</f>
        <v>20010</v>
      </c>
      <c r="D41" s="2">
        <f>AVERAGE(Table53[Revenj])</f>
        <v>8867.4</v>
      </c>
      <c r="E41" s="2">
        <f>AVERAGE(Table53[fastJSON])</f>
        <v>24718.799999999999</v>
      </c>
      <c r="F41" s="2">
        <f>AVERAGE(Table53[Service Stack])</f>
        <v>19820.400000000001</v>
      </c>
      <c r="G41" s="2">
        <f>AVERAGE(Table53[Jil])</f>
        <v>13100.8</v>
      </c>
      <c r="H41" s="2" t="e">
        <f>AVERAGE(Table53[NetJSON])</f>
        <v>#DIV/0!</v>
      </c>
      <c r="I41" s="2">
        <f>AVERAGE(Table53[Jackson])</f>
        <v>6732.6</v>
      </c>
      <c r="J41" s="2">
        <f>AVERAGE(Table53[DSL Platform Java])</f>
        <v>3563.4</v>
      </c>
      <c r="K41" s="2">
        <f>AVERAGE(Table53[Genson])</f>
        <v>11588</v>
      </c>
      <c r="L41" s="2" t="e">
        <f>AVERAGE(Table53[Boon])</f>
        <v>#DIV/0!</v>
      </c>
      <c r="M41" s="2">
        <f>AVERAGE(Table53[Alibaba])</f>
        <v>49077.4</v>
      </c>
      <c r="N41" s="2">
        <f>AVERAGE(Table53[Gson])</f>
        <v>11017.2</v>
      </c>
      <c r="O41" s="2"/>
      <c r="P41" s="2"/>
      <c r="Q41" s="2"/>
    </row>
    <row r="42" spans="2:17" x14ac:dyDescent="0.25">
      <c r="B42" t="s">
        <v>4</v>
      </c>
      <c r="C42" s="3">
        <f>AVERAGE(Table51[Newtonsoft (size)])</f>
        <v>120388890</v>
      </c>
      <c r="D42" s="3">
        <f>AVERAGE(Table51[Revenj (size)])</f>
        <v>102888890</v>
      </c>
      <c r="E42" s="3">
        <f>AVERAGE(Table51[fastJSON (size)])</f>
        <v>108388890</v>
      </c>
      <c r="F42" s="3">
        <f>AVERAGE(Table51[Service Stack (size)])</f>
        <v>119388890</v>
      </c>
      <c r="G42" s="2">
        <f>AVERAGE(Table51[Jil (size)])</f>
        <v>123388890</v>
      </c>
      <c r="H42" s="2" t="e">
        <f>AVERAGE(Table51[NetJSON (size)])</f>
        <v>#DIV/0!</v>
      </c>
      <c r="I42" s="2">
        <f>AVERAGE(Table51[Jackson (size)])</f>
        <v>102888890</v>
      </c>
      <c r="J42" s="2">
        <f>AVERAGE(Table51[DSL Platform Java (size)])</f>
        <v>102888890</v>
      </c>
      <c r="K42" s="2">
        <f>AVERAGE(Table51[Genson (size)])</f>
        <v>110388890</v>
      </c>
      <c r="L42" s="2">
        <f>AVERAGE(Table51[Boon (size)])</f>
        <v>90888890</v>
      </c>
      <c r="M42" s="4" t="s">
        <v>53</v>
      </c>
      <c r="N42" s="2">
        <f>AVERAGE(Table51[Gson (size)])</f>
        <v>110388890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DEVSQ(Table51[Newtonsoft])</f>
        <v>22854.800000000003</v>
      </c>
      <c r="D47" s="2">
        <f>DEVSQ(Table51[Revenj])</f>
        <v>49797.2</v>
      </c>
      <c r="E47" s="2">
        <f>DEVSQ(Table51[fastJSON])</f>
        <v>207048</v>
      </c>
      <c r="F47" s="2">
        <f>DEVSQ(Table51[Service Stack])</f>
        <v>32399.200000000001</v>
      </c>
      <c r="G47" s="2">
        <f>DEVSQ(Table51[Jil])</f>
        <v>40617.200000000004</v>
      </c>
      <c r="H47" s="2" t="e">
        <f>DEVSQ(Table51[NetJSON])</f>
        <v>#NUM!</v>
      </c>
      <c r="I47" s="2">
        <f>DEVSQ(Table51[Jackson])</f>
        <v>21985.200000000001</v>
      </c>
      <c r="J47" s="2">
        <f>DEVSQ(Table51[DSL Platform Java])</f>
        <v>8542.7999999999993</v>
      </c>
      <c r="K47" s="2">
        <f>DEVSQ(Table51[Genson])</f>
        <v>48244</v>
      </c>
      <c r="L47" s="2">
        <f>DEVSQ(Table51[Boon])</f>
        <v>170110.8</v>
      </c>
      <c r="M47" s="2">
        <f>DEVSQ(Table51[Alibaba])</f>
        <v>206094.8</v>
      </c>
      <c r="N47" s="2">
        <f>DEVSQ(Table51[Gson])</f>
        <v>23643.200000000001</v>
      </c>
      <c r="O47" s="2"/>
      <c r="P47" s="2"/>
      <c r="Q47" s="2"/>
    </row>
    <row r="48" spans="2:17" x14ac:dyDescent="0.25">
      <c r="B48" t="s">
        <v>25</v>
      </c>
      <c r="C48" s="2">
        <f>DEVSQ(Table53[Newtonsoft])</f>
        <v>131334</v>
      </c>
      <c r="D48" s="2">
        <f>DEVSQ(Table53[Revenj])</f>
        <v>59573.2</v>
      </c>
      <c r="E48" s="2">
        <f>DEVSQ(Table53[fastJSON])</f>
        <v>157270.79999999999</v>
      </c>
      <c r="F48" s="2">
        <f>DEVSQ(Table53[Service Stack])</f>
        <v>93167.2</v>
      </c>
      <c r="G48" s="2">
        <f>DEVSQ(Table53[Jil])</f>
        <v>280758.8</v>
      </c>
      <c r="H48" s="2" t="e">
        <f>DEVSQ(Table53[NetJSON])</f>
        <v>#NUM!</v>
      </c>
      <c r="I48" s="2">
        <f>DEVSQ(Table53[Jackson])</f>
        <v>48605.2</v>
      </c>
      <c r="J48" s="2">
        <f>DEVSQ(Table53[DSL Platform Java])</f>
        <v>32073.199999999997</v>
      </c>
      <c r="K48" s="2">
        <f>DEVSQ(Table53[Genson])</f>
        <v>118390</v>
      </c>
      <c r="L48" s="2" t="e">
        <f>DEVSQ(Table53[Boon])</f>
        <v>#NUM!</v>
      </c>
      <c r="M48" s="2">
        <f>DEVSQ(Table53[Alibaba])</f>
        <v>2944131.2</v>
      </c>
      <c r="N48" s="2">
        <f>DEVSQ(Table53[Gson])</f>
        <v>162116.80000000002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3208</v>
      </c>
      <c r="C52">
        <v>3195</v>
      </c>
      <c r="D52">
        <v>3384</v>
      </c>
      <c r="E52">
        <v>3184</v>
      </c>
      <c r="F52">
        <v>3433</v>
      </c>
      <c r="G52">
        <v>3283</v>
      </c>
      <c r="H52">
        <v>2486</v>
      </c>
      <c r="I52">
        <v>2419</v>
      </c>
      <c r="J52">
        <v>2438</v>
      </c>
      <c r="K52">
        <v>2532</v>
      </c>
      <c r="L52">
        <v>2449</v>
      </c>
      <c r="M52">
        <v>2432</v>
      </c>
    </row>
    <row r="53" spans="2:25" x14ac:dyDescent="0.25">
      <c r="B53">
        <v>3265</v>
      </c>
      <c r="C53">
        <v>3243</v>
      </c>
      <c r="D53">
        <v>3324</v>
      </c>
      <c r="E53">
        <v>3263</v>
      </c>
      <c r="F53">
        <v>3195</v>
      </c>
      <c r="G53">
        <v>3317</v>
      </c>
      <c r="H53">
        <v>2473</v>
      </c>
      <c r="I53">
        <v>2447</v>
      </c>
      <c r="J53">
        <v>2532</v>
      </c>
      <c r="K53">
        <v>2447</v>
      </c>
      <c r="L53">
        <v>2478</v>
      </c>
      <c r="M53">
        <v>2575</v>
      </c>
    </row>
    <row r="54" spans="2:25" x14ac:dyDescent="0.25">
      <c r="B54">
        <v>3239</v>
      </c>
      <c r="C54">
        <v>3274</v>
      </c>
      <c r="D54">
        <v>3262</v>
      </c>
      <c r="E54">
        <v>3365</v>
      </c>
      <c r="F54">
        <v>3317</v>
      </c>
      <c r="G54">
        <v>3283</v>
      </c>
      <c r="H54">
        <v>2501</v>
      </c>
      <c r="I54">
        <v>2442</v>
      </c>
      <c r="J54">
        <v>2468</v>
      </c>
      <c r="K54">
        <v>2491</v>
      </c>
      <c r="L54">
        <v>2493</v>
      </c>
      <c r="M54">
        <v>2412</v>
      </c>
    </row>
    <row r="55" spans="2:25" x14ac:dyDescent="0.25">
      <c r="B55">
        <v>3169</v>
      </c>
      <c r="C55">
        <v>3205</v>
      </c>
      <c r="D55">
        <v>3322</v>
      </c>
      <c r="E55">
        <v>3226</v>
      </c>
      <c r="F55">
        <v>3166</v>
      </c>
      <c r="G55">
        <v>3284</v>
      </c>
      <c r="H55">
        <v>2476</v>
      </c>
      <c r="I55">
        <v>2424</v>
      </c>
      <c r="J55">
        <v>2447</v>
      </c>
      <c r="K55">
        <v>2498</v>
      </c>
      <c r="L55">
        <v>2436</v>
      </c>
      <c r="M55">
        <v>2534</v>
      </c>
    </row>
    <row r="56" spans="2:25" x14ac:dyDescent="0.25">
      <c r="B56">
        <v>3257</v>
      </c>
      <c r="C56">
        <v>3266</v>
      </c>
      <c r="D56">
        <v>3287</v>
      </c>
      <c r="E56">
        <v>3282</v>
      </c>
      <c r="F56">
        <v>3306</v>
      </c>
      <c r="G56">
        <v>3400</v>
      </c>
      <c r="H56">
        <v>2610</v>
      </c>
      <c r="I56">
        <v>2659</v>
      </c>
      <c r="J56">
        <v>2506</v>
      </c>
      <c r="K56">
        <v>2439</v>
      </c>
      <c r="L56">
        <v>2450</v>
      </c>
      <c r="M56">
        <v>2441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8864</v>
      </c>
      <c r="C60">
        <v>5332</v>
      </c>
      <c r="D60">
        <v>13513</v>
      </c>
      <c r="E60">
        <v>9217</v>
      </c>
      <c r="F60">
        <v>9077</v>
      </c>
      <c r="H60">
        <v>4441</v>
      </c>
      <c r="I60">
        <v>2919</v>
      </c>
      <c r="J60">
        <v>7311</v>
      </c>
      <c r="K60">
        <v>4732</v>
      </c>
      <c r="L60">
        <v>20769</v>
      </c>
      <c r="M60">
        <v>5610</v>
      </c>
      <c r="N60">
        <v>120388890</v>
      </c>
      <c r="O60">
        <v>102888890</v>
      </c>
      <c r="P60">
        <v>108388890</v>
      </c>
      <c r="Q60">
        <v>119388890</v>
      </c>
      <c r="R60">
        <v>123388890</v>
      </c>
      <c r="T60">
        <v>102888890</v>
      </c>
      <c r="U60">
        <v>102888890</v>
      </c>
      <c r="V60">
        <v>110388890</v>
      </c>
      <c r="W60">
        <v>90888890</v>
      </c>
      <c r="X60">
        <v>1960835234</v>
      </c>
      <c r="Y60">
        <v>110388890</v>
      </c>
    </row>
    <row r="61" spans="2:25" x14ac:dyDescent="0.25">
      <c r="B61">
        <v>8893</v>
      </c>
      <c r="C61">
        <v>5465</v>
      </c>
      <c r="D61">
        <v>13726</v>
      </c>
      <c r="E61">
        <v>9171</v>
      </c>
      <c r="F61">
        <v>8945</v>
      </c>
      <c r="H61">
        <v>4284</v>
      </c>
      <c r="I61">
        <v>2919</v>
      </c>
      <c r="J61">
        <v>7516</v>
      </c>
      <c r="K61">
        <v>4614</v>
      </c>
      <c r="L61">
        <v>20798</v>
      </c>
      <c r="M61">
        <v>5799</v>
      </c>
      <c r="N61">
        <v>120388890</v>
      </c>
      <c r="O61">
        <v>102888890</v>
      </c>
      <c r="P61">
        <v>108388890</v>
      </c>
      <c r="Q61">
        <v>119388890</v>
      </c>
      <c r="R61">
        <v>123388890</v>
      </c>
      <c r="T61">
        <v>102888890</v>
      </c>
      <c r="U61">
        <v>102888890</v>
      </c>
      <c r="V61">
        <v>110388890</v>
      </c>
      <c r="W61">
        <v>90888890</v>
      </c>
      <c r="X61">
        <v>1960835238</v>
      </c>
      <c r="Y61">
        <v>110388890</v>
      </c>
    </row>
    <row r="62" spans="2:25" x14ac:dyDescent="0.25">
      <c r="B62">
        <v>8727</v>
      </c>
      <c r="C62">
        <v>5174</v>
      </c>
      <c r="D62">
        <v>13940</v>
      </c>
      <c r="E62">
        <v>9083</v>
      </c>
      <c r="F62">
        <v>8830</v>
      </c>
      <c r="H62">
        <v>4416</v>
      </c>
      <c r="I62">
        <v>2922</v>
      </c>
      <c r="J62">
        <v>7214</v>
      </c>
      <c r="K62">
        <v>4909</v>
      </c>
      <c r="L62">
        <v>21313</v>
      </c>
      <c r="M62">
        <v>5728</v>
      </c>
      <c r="N62">
        <v>120388890</v>
      </c>
      <c r="O62">
        <v>102888890</v>
      </c>
      <c r="P62">
        <v>108388890</v>
      </c>
      <c r="Q62">
        <v>119388890</v>
      </c>
      <c r="R62">
        <v>123388890</v>
      </c>
      <c r="T62">
        <v>102888890</v>
      </c>
      <c r="U62">
        <v>102888890</v>
      </c>
      <c r="V62">
        <v>110388890</v>
      </c>
      <c r="W62">
        <v>90888890</v>
      </c>
      <c r="X62">
        <v>1960835244</v>
      </c>
      <c r="Y62">
        <v>110388890</v>
      </c>
    </row>
    <row r="63" spans="2:25" x14ac:dyDescent="0.25">
      <c r="B63">
        <v>8754</v>
      </c>
      <c r="C63">
        <v>5417</v>
      </c>
      <c r="D63">
        <v>13588</v>
      </c>
      <c r="E63">
        <v>9268</v>
      </c>
      <c r="F63">
        <v>8850</v>
      </c>
      <c r="H63">
        <v>4363</v>
      </c>
      <c r="I63">
        <v>3020</v>
      </c>
      <c r="J63">
        <v>7320</v>
      </c>
      <c r="K63">
        <v>4999</v>
      </c>
      <c r="L63">
        <v>20943</v>
      </c>
      <c r="M63">
        <v>5762</v>
      </c>
      <c r="N63">
        <v>120388890</v>
      </c>
      <c r="O63">
        <v>102888890</v>
      </c>
      <c r="P63">
        <v>108388890</v>
      </c>
      <c r="Q63">
        <v>119388890</v>
      </c>
      <c r="R63">
        <v>123388890</v>
      </c>
      <c r="T63">
        <v>102888890</v>
      </c>
      <c r="U63">
        <v>102888890</v>
      </c>
      <c r="V63">
        <v>110388890</v>
      </c>
      <c r="W63">
        <v>90888890</v>
      </c>
      <c r="X63">
        <v>1960835250</v>
      </c>
      <c r="Y63">
        <v>110388890</v>
      </c>
    </row>
    <row r="64" spans="2:25" x14ac:dyDescent="0.25">
      <c r="B64">
        <v>8748</v>
      </c>
      <c r="C64">
        <v>5379</v>
      </c>
      <c r="D64">
        <v>14048</v>
      </c>
      <c r="E64">
        <v>9053</v>
      </c>
      <c r="F64">
        <v>8870</v>
      </c>
      <c r="H64">
        <v>4279</v>
      </c>
      <c r="I64">
        <v>2981</v>
      </c>
      <c r="J64">
        <v>7354</v>
      </c>
      <c r="K64">
        <v>4497</v>
      </c>
      <c r="L64">
        <v>21108</v>
      </c>
      <c r="M64">
        <v>5658</v>
      </c>
      <c r="N64">
        <v>120388890</v>
      </c>
      <c r="O64">
        <v>102888890</v>
      </c>
      <c r="P64">
        <v>108388890</v>
      </c>
      <c r="Q64">
        <v>119388890</v>
      </c>
      <c r="R64">
        <v>123388890</v>
      </c>
      <c r="T64">
        <v>102888890</v>
      </c>
      <c r="U64">
        <v>102888890</v>
      </c>
      <c r="V64">
        <v>110388890</v>
      </c>
      <c r="W64">
        <v>90888890</v>
      </c>
      <c r="X64">
        <v>1960835256</v>
      </c>
      <c r="Y64">
        <v>110388890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19940</v>
      </c>
      <c r="C68">
        <v>8778</v>
      </c>
      <c r="D68">
        <v>24654</v>
      </c>
      <c r="E68">
        <v>19725</v>
      </c>
      <c r="F68">
        <v>12871</v>
      </c>
      <c r="H68">
        <v>6674</v>
      </c>
      <c r="I68">
        <v>3537</v>
      </c>
      <c r="J68">
        <v>11693</v>
      </c>
      <c r="L68">
        <v>49117</v>
      </c>
      <c r="M68">
        <v>11175</v>
      </c>
    </row>
    <row r="69" spans="2:13" x14ac:dyDescent="0.25">
      <c r="B69">
        <v>20112</v>
      </c>
      <c r="C69">
        <v>8780</v>
      </c>
      <c r="D69">
        <v>24945</v>
      </c>
      <c r="E69">
        <v>19979</v>
      </c>
      <c r="F69">
        <v>13116</v>
      </c>
      <c r="H69">
        <v>6833</v>
      </c>
      <c r="I69">
        <v>3474</v>
      </c>
      <c r="J69">
        <v>11349</v>
      </c>
      <c r="L69">
        <v>50361</v>
      </c>
      <c r="M69">
        <v>11125</v>
      </c>
    </row>
    <row r="70" spans="2:13" x14ac:dyDescent="0.25">
      <c r="B70">
        <v>19856</v>
      </c>
      <c r="C70">
        <v>8777</v>
      </c>
      <c r="D70">
        <v>24530</v>
      </c>
      <c r="E70">
        <v>19834</v>
      </c>
      <c r="F70">
        <v>13514</v>
      </c>
      <c r="H70">
        <v>6667</v>
      </c>
      <c r="I70">
        <v>3490</v>
      </c>
      <c r="J70">
        <v>11680</v>
      </c>
      <c r="L70">
        <v>48575</v>
      </c>
      <c r="M70">
        <v>10813</v>
      </c>
    </row>
    <row r="71" spans="2:13" x14ac:dyDescent="0.25">
      <c r="B71">
        <v>19865</v>
      </c>
      <c r="C71">
        <v>9007</v>
      </c>
      <c r="D71">
        <v>24914</v>
      </c>
      <c r="E71">
        <v>19949</v>
      </c>
      <c r="F71">
        <v>13138</v>
      </c>
      <c r="H71">
        <v>6868</v>
      </c>
      <c r="I71">
        <v>3651</v>
      </c>
      <c r="J71">
        <v>11752</v>
      </c>
      <c r="L71">
        <v>49261</v>
      </c>
      <c r="M71">
        <v>11189</v>
      </c>
    </row>
    <row r="72" spans="2:13" x14ac:dyDescent="0.25">
      <c r="B72">
        <v>20277</v>
      </c>
      <c r="C72">
        <v>8995</v>
      </c>
      <c r="D72">
        <v>24551</v>
      </c>
      <c r="E72">
        <v>19615</v>
      </c>
      <c r="F72">
        <v>12865</v>
      </c>
      <c r="H72">
        <v>6621</v>
      </c>
      <c r="I72">
        <v>3665</v>
      </c>
      <c r="J72">
        <v>11466</v>
      </c>
      <c r="L72">
        <v>48073</v>
      </c>
      <c r="M72">
        <v>10784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Startup</vt:lpstr>
      <vt:lpstr>Small M 1</vt:lpstr>
      <vt:lpstr>Small M 2</vt:lpstr>
      <vt:lpstr>Small M 3</vt:lpstr>
      <vt:lpstr>Small C 1</vt:lpstr>
      <vt:lpstr>Small C 2</vt:lpstr>
      <vt:lpstr>Small C 3</vt:lpstr>
      <vt:lpstr>Small P 1</vt:lpstr>
      <vt:lpstr>Small P 2</vt:lpstr>
      <vt:lpstr>Small P 3</vt:lpstr>
      <vt:lpstr>Std D 1</vt:lpstr>
      <vt:lpstr>Std D 2</vt:lpstr>
      <vt:lpstr>Std D 3</vt:lpstr>
      <vt:lpstr>Std P 1</vt:lpstr>
      <vt:lpstr>Std P 2</vt:lpstr>
      <vt:lpstr>Std P 3</vt:lpstr>
      <vt:lpstr>Large 1</vt:lpstr>
      <vt:lpstr>Large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2014-10-11T07:45:31Z</dcterms:created>
  <dcterms:modified xsi:type="dcterms:W3CDTF">2015-07-03T12:40:58Z</dcterms:modified>
</cp:coreProperties>
</file>