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omments1.xml" ContentType="application/vnd.openxmlformats-officedocument.spreadsheetml.comment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comments2.xml" ContentType="application/vnd.openxmlformats-officedocument.spreadsheetml.comment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comments3.xml" ContentType="application/vnd.openxmlformats-officedocument.spreadsheetml.comment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comments4.xml" ContentType="application/vnd.openxmlformats-officedocument.spreadsheetml.comment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comments5.xml" ContentType="application/vnd.openxmlformats-officedocument.spreadsheetml.comment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comments6.xml" ContentType="application/vnd.openxmlformats-officedocument.spreadsheetml.comment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comments7.xml" ContentType="application/vnd.openxmlformats-officedocument.spreadsheetml.comments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comments8.xml" ContentType="application/vnd.openxmlformats-officedocument.spreadsheetml.comment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comments9.xml" ContentType="application/vnd.openxmlformats-officedocument.spreadsheetml.comment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comments10.xml" ContentType="application/vnd.openxmlformats-officedocument.spreadsheetml.comment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comments11.xml" ContentType="application/vnd.openxmlformats-officedocument.spreadsheetml.comments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" yWindow="15" windowWidth="24120" windowHeight="12045"/>
  </bookViews>
  <sheets>
    <sheet name="Startup" sheetId="1" r:id="rId1"/>
    <sheet name="Small M 1" sheetId="3" r:id="rId2"/>
    <sheet name="Small M 2" sheetId="4" r:id="rId3"/>
    <sheet name="Small M 3" sheetId="5" r:id="rId4"/>
    <sheet name="Small C 1" sheetId="6" r:id="rId5"/>
    <sheet name="Small C 2" sheetId="7" r:id="rId6"/>
    <sheet name="Small C 3" sheetId="8" r:id="rId7"/>
    <sheet name="Small P 1" sheetId="9" r:id="rId8"/>
    <sheet name="Small P 2" sheetId="10" r:id="rId9"/>
    <sheet name="Small P 3" sheetId="11" r:id="rId10"/>
    <sheet name="Std D 1" sheetId="12" r:id="rId11"/>
    <sheet name="Std D 2" sheetId="13" r:id="rId12"/>
    <sheet name="Std D 3" sheetId="14" r:id="rId13"/>
    <sheet name="Std P 1" sheetId="15" r:id="rId14"/>
    <sheet name="Std P 2" sheetId="16" r:id="rId15"/>
    <sheet name="Std P 3" sheetId="17" r:id="rId16"/>
    <sheet name="Large 1" sheetId="18" r:id="rId17"/>
    <sheet name="Large 2" sheetId="19" r:id="rId18"/>
  </sheets>
  <calcPr calcId="145621"/>
</workbook>
</file>

<file path=xl/calcChain.xml><?xml version="1.0" encoding="utf-8"?>
<calcChain xmlns="http://schemas.openxmlformats.org/spreadsheetml/2006/main">
  <c r="L42" i="10" l="1"/>
  <c r="M42" i="1" l="1"/>
  <c r="M41" i="1"/>
  <c r="M38" i="1"/>
  <c r="M39" i="1" s="1"/>
  <c r="L42" i="1"/>
  <c r="L41" i="1"/>
  <c r="L38" i="1"/>
  <c r="L39" i="1" s="1"/>
  <c r="L48" i="1"/>
  <c r="L47" i="1"/>
  <c r="M48" i="1"/>
  <c r="M47" i="1"/>
  <c r="E48" i="1"/>
  <c r="E47" i="1"/>
  <c r="E42" i="1"/>
  <c r="E41" i="1"/>
  <c r="E38" i="1"/>
  <c r="E39" i="1" s="1"/>
  <c r="M40" i="1" l="1"/>
  <c r="L40" i="1"/>
  <c r="E40" i="1"/>
  <c r="K42" i="1"/>
  <c r="I41" i="1"/>
  <c r="I38" i="1"/>
  <c r="I39" i="1" s="1"/>
  <c r="J41" i="1"/>
  <c r="J38" i="1"/>
  <c r="J39" i="1" s="1"/>
  <c r="K41" i="1"/>
  <c r="K38" i="1"/>
  <c r="K39" i="1" s="1"/>
  <c r="J40" i="1" l="1"/>
  <c r="K40" i="1"/>
  <c r="F42" i="1"/>
  <c r="D42" i="1"/>
  <c r="C42" i="1"/>
  <c r="N41" i="1"/>
  <c r="N38" i="1"/>
  <c r="N39" i="1" s="1"/>
  <c r="I48" i="1"/>
  <c r="I47" i="1"/>
  <c r="N42" i="1"/>
  <c r="I40" i="1"/>
  <c r="N40" i="1" l="1"/>
  <c r="J42" i="1"/>
  <c r="I42" i="1"/>
  <c r="H41" i="1"/>
  <c r="H38" i="1"/>
  <c r="H39" i="1" s="1"/>
  <c r="H42" i="1"/>
  <c r="G41" i="1"/>
  <c r="G38" i="1"/>
  <c r="G39" i="1" s="1"/>
  <c r="G42" i="1"/>
  <c r="F41" i="1"/>
  <c r="F38" i="1"/>
  <c r="F39" i="1" s="1"/>
  <c r="D41" i="1"/>
  <c r="D38" i="1"/>
  <c r="D39" i="1" s="1"/>
  <c r="C41" i="1"/>
  <c r="C38" i="1"/>
  <c r="C39" i="1" s="1"/>
  <c r="H47" i="1"/>
  <c r="H48" i="1"/>
  <c r="N48" i="1"/>
  <c r="N47" i="1"/>
  <c r="K47" i="1"/>
  <c r="K48" i="1"/>
  <c r="J48" i="1"/>
  <c r="G47" i="1"/>
  <c r="G48" i="1"/>
  <c r="F47" i="1"/>
  <c r="D47" i="1"/>
  <c r="G40" i="1" l="1"/>
  <c r="C40" i="1"/>
  <c r="F40" i="1"/>
  <c r="D40" i="1"/>
  <c r="H40" i="1"/>
  <c r="D48" i="1"/>
  <c r="F48" i="1"/>
  <c r="C48" i="1"/>
  <c r="J47" i="1" l="1"/>
  <c r="C47" i="1"/>
  <c r="N48" i="19"/>
  <c r="M48" i="19"/>
  <c r="L48" i="19"/>
  <c r="K48" i="19"/>
  <c r="J48" i="19"/>
  <c r="I48" i="19"/>
  <c r="H48" i="19"/>
  <c r="G48" i="19"/>
  <c r="F48" i="19"/>
  <c r="E48" i="19"/>
  <c r="D48" i="19"/>
  <c r="C48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N38" i="19"/>
  <c r="N39" i="19" s="1"/>
  <c r="M38" i="19"/>
  <c r="M39" i="19" s="1"/>
  <c r="L38" i="19"/>
  <c r="L39" i="19" s="1"/>
  <c r="K38" i="19"/>
  <c r="K39" i="19" s="1"/>
  <c r="J38" i="19"/>
  <c r="J39" i="19" s="1"/>
  <c r="I38" i="19"/>
  <c r="I39" i="19" s="1"/>
  <c r="I40" i="19" s="1"/>
  <c r="H38" i="19"/>
  <c r="H39" i="19" s="1"/>
  <c r="H40" i="19" s="1"/>
  <c r="G38" i="19"/>
  <c r="G39" i="19" s="1"/>
  <c r="F38" i="19"/>
  <c r="F39" i="19" s="1"/>
  <c r="E38" i="19"/>
  <c r="E39" i="19" s="1"/>
  <c r="D38" i="19"/>
  <c r="D39" i="19" s="1"/>
  <c r="C38" i="19"/>
  <c r="C39" i="19" s="1"/>
  <c r="N48" i="18"/>
  <c r="M48" i="18"/>
  <c r="L48" i="18"/>
  <c r="K48" i="18"/>
  <c r="J48" i="18"/>
  <c r="I48" i="18"/>
  <c r="H48" i="18"/>
  <c r="G48" i="18"/>
  <c r="F48" i="18"/>
  <c r="E48" i="18"/>
  <c r="D48" i="18"/>
  <c r="C48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N38" i="18"/>
  <c r="N39" i="18" s="1"/>
  <c r="M38" i="18"/>
  <c r="M39" i="18" s="1"/>
  <c r="M40" i="18" s="1"/>
  <c r="L38" i="18"/>
  <c r="L39" i="18" s="1"/>
  <c r="L40" i="18" s="1"/>
  <c r="K38" i="18"/>
  <c r="K39" i="18" s="1"/>
  <c r="J38" i="18"/>
  <c r="J39" i="18" s="1"/>
  <c r="I38" i="18"/>
  <c r="I39" i="18" s="1"/>
  <c r="H38" i="18"/>
  <c r="H39" i="18" s="1"/>
  <c r="G38" i="18"/>
  <c r="G39" i="18" s="1"/>
  <c r="F38" i="18"/>
  <c r="F39" i="18" s="1"/>
  <c r="E38" i="18"/>
  <c r="E39" i="18" s="1"/>
  <c r="E40" i="18" s="1"/>
  <c r="D38" i="18"/>
  <c r="D39" i="18" s="1"/>
  <c r="D40" i="18" s="1"/>
  <c r="C38" i="18"/>
  <c r="C39" i="18" s="1"/>
  <c r="N48" i="17"/>
  <c r="M48" i="17"/>
  <c r="L48" i="17"/>
  <c r="K48" i="17"/>
  <c r="J48" i="17"/>
  <c r="I48" i="17"/>
  <c r="H48" i="17"/>
  <c r="G48" i="17"/>
  <c r="F48" i="17"/>
  <c r="E48" i="17"/>
  <c r="D48" i="17"/>
  <c r="C48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N41" i="17"/>
  <c r="M41" i="17"/>
  <c r="L41" i="17"/>
  <c r="J41" i="17"/>
  <c r="I41" i="17"/>
  <c r="H41" i="17"/>
  <c r="G41" i="17"/>
  <c r="F41" i="17"/>
  <c r="E41" i="17"/>
  <c r="D41" i="17"/>
  <c r="C41" i="17"/>
  <c r="N38" i="17"/>
  <c r="N39" i="17" s="1"/>
  <c r="M38" i="17"/>
  <c r="M39" i="17" s="1"/>
  <c r="L38" i="17"/>
  <c r="L39" i="17" s="1"/>
  <c r="K38" i="17"/>
  <c r="K39" i="17" s="1"/>
  <c r="K40" i="17" s="1"/>
  <c r="J38" i="17"/>
  <c r="J39" i="17" s="1"/>
  <c r="I38" i="17"/>
  <c r="I39" i="17" s="1"/>
  <c r="I40" i="17" s="1"/>
  <c r="H38" i="17"/>
  <c r="H39" i="17" s="1"/>
  <c r="H40" i="17" s="1"/>
  <c r="G38" i="17"/>
  <c r="G39" i="17" s="1"/>
  <c r="F38" i="17"/>
  <c r="F39" i="17" s="1"/>
  <c r="E38" i="17"/>
  <c r="E39" i="17" s="1"/>
  <c r="D38" i="17"/>
  <c r="D39" i="17" s="1"/>
  <c r="C38" i="17"/>
  <c r="C39" i="17" s="1"/>
  <c r="N48" i="16"/>
  <c r="M48" i="16"/>
  <c r="L48" i="16"/>
  <c r="K48" i="16"/>
  <c r="J48" i="16"/>
  <c r="I48" i="16"/>
  <c r="H48" i="16"/>
  <c r="G48" i="16"/>
  <c r="F48" i="16"/>
  <c r="E48" i="16"/>
  <c r="D48" i="16"/>
  <c r="C48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N41" i="16"/>
  <c r="M41" i="16"/>
  <c r="L41" i="16"/>
  <c r="J41" i="16"/>
  <c r="I41" i="16"/>
  <c r="H41" i="16"/>
  <c r="G41" i="16"/>
  <c r="F41" i="16"/>
  <c r="E41" i="16"/>
  <c r="D41" i="16"/>
  <c r="C41" i="16"/>
  <c r="N38" i="16"/>
  <c r="N39" i="16" s="1"/>
  <c r="M38" i="16"/>
  <c r="M39" i="16" s="1"/>
  <c r="M40" i="16" s="1"/>
  <c r="L38" i="16"/>
  <c r="L39" i="16" s="1"/>
  <c r="L40" i="16" s="1"/>
  <c r="K38" i="16"/>
  <c r="K39" i="16" s="1"/>
  <c r="J38" i="16"/>
  <c r="J39" i="16" s="1"/>
  <c r="I38" i="16"/>
  <c r="I39" i="16" s="1"/>
  <c r="H38" i="16"/>
  <c r="H39" i="16" s="1"/>
  <c r="G38" i="16"/>
  <c r="G39" i="16" s="1"/>
  <c r="F38" i="16"/>
  <c r="F39" i="16" s="1"/>
  <c r="E38" i="16"/>
  <c r="E39" i="16" s="1"/>
  <c r="D38" i="16"/>
  <c r="D39" i="16" s="1"/>
  <c r="C38" i="16"/>
  <c r="C39" i="16" s="1"/>
  <c r="N48" i="15"/>
  <c r="M48" i="15"/>
  <c r="L48" i="15"/>
  <c r="K48" i="15"/>
  <c r="J48" i="15"/>
  <c r="I48" i="15"/>
  <c r="H48" i="15"/>
  <c r="G48" i="15"/>
  <c r="F48" i="15"/>
  <c r="E48" i="15"/>
  <c r="D48" i="15"/>
  <c r="C48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N41" i="15"/>
  <c r="M41" i="15"/>
  <c r="L41" i="15"/>
  <c r="J41" i="15"/>
  <c r="I41" i="15"/>
  <c r="H41" i="15"/>
  <c r="G41" i="15"/>
  <c r="F41" i="15"/>
  <c r="E41" i="15"/>
  <c r="D41" i="15"/>
  <c r="C41" i="15"/>
  <c r="N38" i="15"/>
  <c r="N39" i="15" s="1"/>
  <c r="M38" i="15"/>
  <c r="M39" i="15" s="1"/>
  <c r="L38" i="15"/>
  <c r="L39" i="15" s="1"/>
  <c r="K38" i="15"/>
  <c r="K39" i="15" s="1"/>
  <c r="K40" i="15" s="1"/>
  <c r="J38" i="15"/>
  <c r="J39" i="15" s="1"/>
  <c r="I38" i="15"/>
  <c r="I39" i="15" s="1"/>
  <c r="I40" i="15" s="1"/>
  <c r="H38" i="15"/>
  <c r="H39" i="15" s="1"/>
  <c r="G38" i="15"/>
  <c r="G39" i="15" s="1"/>
  <c r="F38" i="15"/>
  <c r="F39" i="15" s="1"/>
  <c r="F40" i="15" s="1"/>
  <c r="E38" i="15"/>
  <c r="E39" i="15" s="1"/>
  <c r="D38" i="15"/>
  <c r="D39" i="15" s="1"/>
  <c r="C38" i="15"/>
  <c r="C39" i="15" s="1"/>
  <c r="N48" i="14"/>
  <c r="M48" i="14"/>
  <c r="L48" i="14"/>
  <c r="K48" i="14"/>
  <c r="J48" i="14"/>
  <c r="I48" i="14"/>
  <c r="H48" i="14"/>
  <c r="G48" i="14"/>
  <c r="F48" i="14"/>
  <c r="E48" i="14"/>
  <c r="D48" i="14"/>
  <c r="C48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N41" i="14"/>
  <c r="M41" i="14"/>
  <c r="L41" i="14"/>
  <c r="J41" i="14"/>
  <c r="I41" i="14"/>
  <c r="H41" i="14"/>
  <c r="G41" i="14"/>
  <c r="F41" i="14"/>
  <c r="E41" i="14"/>
  <c r="D41" i="14"/>
  <c r="C41" i="14"/>
  <c r="N38" i="14"/>
  <c r="N39" i="14" s="1"/>
  <c r="M38" i="14"/>
  <c r="M39" i="14" s="1"/>
  <c r="L38" i="14"/>
  <c r="L39" i="14" s="1"/>
  <c r="K38" i="14"/>
  <c r="K39" i="14" s="1"/>
  <c r="J38" i="14"/>
  <c r="J39" i="14" s="1"/>
  <c r="I38" i="14"/>
  <c r="I39" i="14" s="1"/>
  <c r="H38" i="14"/>
  <c r="H39" i="14" s="1"/>
  <c r="G38" i="14"/>
  <c r="G39" i="14" s="1"/>
  <c r="G40" i="14" s="1"/>
  <c r="F38" i="14"/>
  <c r="F39" i="14" s="1"/>
  <c r="E38" i="14"/>
  <c r="E39" i="14" s="1"/>
  <c r="D38" i="14"/>
  <c r="D39" i="14" s="1"/>
  <c r="D40" i="14" s="1"/>
  <c r="C38" i="14"/>
  <c r="C39" i="14" s="1"/>
  <c r="N48" i="13"/>
  <c r="M48" i="13"/>
  <c r="L48" i="13"/>
  <c r="K48" i="13"/>
  <c r="J48" i="13"/>
  <c r="I48" i="13"/>
  <c r="H48" i="13"/>
  <c r="G48" i="13"/>
  <c r="F48" i="13"/>
  <c r="E48" i="13"/>
  <c r="D48" i="13"/>
  <c r="C48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N41" i="13"/>
  <c r="M41" i="13"/>
  <c r="L41" i="13"/>
  <c r="J41" i="13"/>
  <c r="I41" i="13"/>
  <c r="H41" i="13"/>
  <c r="G41" i="13"/>
  <c r="F41" i="13"/>
  <c r="E41" i="13"/>
  <c r="D41" i="13"/>
  <c r="C41" i="13"/>
  <c r="N38" i="13"/>
  <c r="N39" i="13" s="1"/>
  <c r="M38" i="13"/>
  <c r="M39" i="13" s="1"/>
  <c r="L38" i="13"/>
  <c r="L39" i="13" s="1"/>
  <c r="K38" i="13"/>
  <c r="K39" i="13" s="1"/>
  <c r="K40" i="13" s="1"/>
  <c r="J38" i="13"/>
  <c r="J39" i="13" s="1"/>
  <c r="I38" i="13"/>
  <c r="I39" i="13" s="1"/>
  <c r="I40" i="13" s="1"/>
  <c r="H38" i="13"/>
  <c r="H39" i="13" s="1"/>
  <c r="G38" i="13"/>
  <c r="G39" i="13" s="1"/>
  <c r="F38" i="13"/>
  <c r="F39" i="13" s="1"/>
  <c r="E38" i="13"/>
  <c r="E39" i="13" s="1"/>
  <c r="D38" i="13"/>
  <c r="D39" i="13" s="1"/>
  <c r="C38" i="13"/>
  <c r="C39" i="13" s="1"/>
  <c r="N48" i="12"/>
  <c r="M48" i="12"/>
  <c r="L48" i="12"/>
  <c r="K48" i="12"/>
  <c r="J48" i="12"/>
  <c r="I48" i="12"/>
  <c r="H48" i="12"/>
  <c r="G48" i="12"/>
  <c r="F48" i="12"/>
  <c r="E48" i="12"/>
  <c r="D48" i="12"/>
  <c r="C48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N41" i="12"/>
  <c r="M41" i="12"/>
  <c r="L41" i="12"/>
  <c r="J41" i="12"/>
  <c r="I41" i="12"/>
  <c r="H41" i="12"/>
  <c r="G41" i="12"/>
  <c r="F41" i="12"/>
  <c r="E41" i="12"/>
  <c r="D41" i="12"/>
  <c r="C41" i="12"/>
  <c r="N38" i="12"/>
  <c r="N39" i="12" s="1"/>
  <c r="M38" i="12"/>
  <c r="M39" i="12" s="1"/>
  <c r="M40" i="12" s="1"/>
  <c r="L38" i="12"/>
  <c r="L39" i="12" s="1"/>
  <c r="L40" i="12" s="1"/>
  <c r="K38" i="12"/>
  <c r="K39" i="12" s="1"/>
  <c r="J38" i="12"/>
  <c r="J39" i="12" s="1"/>
  <c r="J40" i="12" s="1"/>
  <c r="I38" i="12"/>
  <c r="I39" i="12" s="1"/>
  <c r="H38" i="12"/>
  <c r="H39" i="12" s="1"/>
  <c r="G38" i="12"/>
  <c r="G39" i="12" s="1"/>
  <c r="G40" i="12" s="1"/>
  <c r="F38" i="12"/>
  <c r="F39" i="12" s="1"/>
  <c r="E38" i="12"/>
  <c r="E39" i="12" s="1"/>
  <c r="E40" i="12" s="1"/>
  <c r="D38" i="12"/>
  <c r="D39" i="12" s="1"/>
  <c r="C38" i="12"/>
  <c r="C39" i="12" s="1"/>
  <c r="N48" i="11"/>
  <c r="M48" i="11"/>
  <c r="L48" i="11"/>
  <c r="K48" i="11"/>
  <c r="J48" i="11"/>
  <c r="I48" i="11"/>
  <c r="H48" i="11"/>
  <c r="G48" i="11"/>
  <c r="F48" i="11"/>
  <c r="E48" i="11"/>
  <c r="D48" i="11"/>
  <c r="C48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N42" i="11"/>
  <c r="L42" i="11"/>
  <c r="K42" i="11"/>
  <c r="J42" i="11"/>
  <c r="I42" i="11"/>
  <c r="H42" i="11"/>
  <c r="G42" i="11"/>
  <c r="F42" i="11"/>
  <c r="E42" i="11"/>
  <c r="D42" i="11"/>
  <c r="C42" i="11"/>
  <c r="N41" i="11"/>
  <c r="L41" i="11"/>
  <c r="K41" i="11"/>
  <c r="J41" i="11"/>
  <c r="I41" i="11"/>
  <c r="H41" i="11"/>
  <c r="G41" i="11"/>
  <c r="F41" i="11"/>
  <c r="E41" i="11"/>
  <c r="D41" i="11"/>
  <c r="C41" i="11"/>
  <c r="N38" i="11"/>
  <c r="N39" i="11" s="1"/>
  <c r="N40" i="11" s="1"/>
  <c r="M38" i="11"/>
  <c r="M40" i="11" s="1"/>
  <c r="L38" i="11"/>
  <c r="L39" i="11" s="1"/>
  <c r="L40" i="11" s="1"/>
  <c r="K38" i="11"/>
  <c r="K39" i="11" s="1"/>
  <c r="J38" i="11"/>
  <c r="J39" i="11" s="1"/>
  <c r="I38" i="11"/>
  <c r="I39" i="11" s="1"/>
  <c r="I40" i="11" s="1"/>
  <c r="H38" i="11"/>
  <c r="H39" i="11" s="1"/>
  <c r="G38" i="11"/>
  <c r="G39" i="11" s="1"/>
  <c r="G40" i="11" s="1"/>
  <c r="F38" i="11"/>
  <c r="F39" i="11" s="1"/>
  <c r="F40" i="11" s="1"/>
  <c r="E38" i="11"/>
  <c r="E39" i="11" s="1"/>
  <c r="D38" i="11"/>
  <c r="D39" i="11" s="1"/>
  <c r="C38" i="11"/>
  <c r="C39" i="11" s="1"/>
  <c r="N48" i="10"/>
  <c r="M48" i="10"/>
  <c r="L48" i="10"/>
  <c r="K48" i="10"/>
  <c r="J48" i="10"/>
  <c r="I48" i="10"/>
  <c r="H48" i="10"/>
  <c r="G48" i="10"/>
  <c r="F48" i="10"/>
  <c r="E48" i="10"/>
  <c r="D48" i="10"/>
  <c r="C48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N42" i="10"/>
  <c r="K42" i="10"/>
  <c r="J42" i="10"/>
  <c r="I42" i="10"/>
  <c r="H42" i="10"/>
  <c r="G42" i="10"/>
  <c r="F42" i="10"/>
  <c r="E42" i="10"/>
  <c r="D42" i="10"/>
  <c r="C42" i="10"/>
  <c r="N41" i="10"/>
  <c r="L41" i="10"/>
  <c r="K41" i="10"/>
  <c r="J41" i="10"/>
  <c r="I41" i="10"/>
  <c r="H41" i="10"/>
  <c r="G41" i="10"/>
  <c r="F41" i="10"/>
  <c r="E41" i="10"/>
  <c r="D41" i="10"/>
  <c r="C41" i="10"/>
  <c r="N38" i="10"/>
  <c r="N39" i="10" s="1"/>
  <c r="N40" i="10" s="1"/>
  <c r="M38" i="10"/>
  <c r="M40" i="10" s="1"/>
  <c r="L38" i="10"/>
  <c r="L39" i="10" s="1"/>
  <c r="K38" i="10"/>
  <c r="K39" i="10" s="1"/>
  <c r="J38" i="10"/>
  <c r="J39" i="10" s="1"/>
  <c r="I38" i="10"/>
  <c r="I39" i="10" s="1"/>
  <c r="H38" i="10"/>
  <c r="H39" i="10" s="1"/>
  <c r="H40" i="10" s="1"/>
  <c r="G38" i="10"/>
  <c r="G39" i="10" s="1"/>
  <c r="G40" i="10" s="1"/>
  <c r="F38" i="10"/>
  <c r="F39" i="10" s="1"/>
  <c r="E38" i="10"/>
  <c r="E39" i="10" s="1"/>
  <c r="E40" i="10" s="1"/>
  <c r="D38" i="10"/>
  <c r="D39" i="10" s="1"/>
  <c r="C38" i="10"/>
  <c r="C39" i="10" s="1"/>
  <c r="N48" i="9"/>
  <c r="M48" i="9"/>
  <c r="L48" i="9"/>
  <c r="K48" i="9"/>
  <c r="J48" i="9"/>
  <c r="I48" i="9"/>
  <c r="H48" i="9"/>
  <c r="G48" i="9"/>
  <c r="F48" i="9"/>
  <c r="E48" i="9"/>
  <c r="D48" i="9"/>
  <c r="C48" i="9"/>
  <c r="N47" i="9"/>
  <c r="M47" i="9"/>
  <c r="L47" i="9"/>
  <c r="K47" i="9"/>
  <c r="J47" i="9"/>
  <c r="I47" i="9"/>
  <c r="H47" i="9"/>
  <c r="G47" i="9"/>
  <c r="F47" i="9"/>
  <c r="E47" i="9"/>
  <c r="D47" i="9"/>
  <c r="C47" i="9"/>
  <c r="N42" i="9"/>
  <c r="L42" i="9"/>
  <c r="K42" i="9"/>
  <c r="J42" i="9"/>
  <c r="I42" i="9"/>
  <c r="H42" i="9"/>
  <c r="G42" i="9"/>
  <c r="F42" i="9"/>
  <c r="E42" i="9"/>
  <c r="D42" i="9"/>
  <c r="C42" i="9"/>
  <c r="N41" i="9"/>
  <c r="L41" i="9"/>
  <c r="K41" i="9"/>
  <c r="J41" i="9"/>
  <c r="I41" i="9"/>
  <c r="H41" i="9"/>
  <c r="G41" i="9"/>
  <c r="F41" i="9"/>
  <c r="E41" i="9"/>
  <c r="D41" i="9"/>
  <c r="C41" i="9"/>
  <c r="N38" i="9"/>
  <c r="N39" i="9" s="1"/>
  <c r="M38" i="9"/>
  <c r="M40" i="9" s="1"/>
  <c r="L38" i="9"/>
  <c r="L39" i="9" s="1"/>
  <c r="K38" i="9"/>
  <c r="K39" i="9" s="1"/>
  <c r="J38" i="9"/>
  <c r="J39" i="9" s="1"/>
  <c r="J40" i="9" s="1"/>
  <c r="I38" i="9"/>
  <c r="I39" i="9" s="1"/>
  <c r="I40" i="9" s="1"/>
  <c r="H38" i="9"/>
  <c r="H39" i="9" s="1"/>
  <c r="G38" i="9"/>
  <c r="G39" i="9" s="1"/>
  <c r="G40" i="9" s="1"/>
  <c r="F38" i="9"/>
  <c r="F39" i="9" s="1"/>
  <c r="E38" i="9"/>
  <c r="E39" i="9" s="1"/>
  <c r="D38" i="9"/>
  <c r="D39" i="9" s="1"/>
  <c r="C38" i="9"/>
  <c r="C39" i="9" s="1"/>
  <c r="N48" i="8"/>
  <c r="M48" i="8"/>
  <c r="L48" i="8"/>
  <c r="K48" i="8"/>
  <c r="J48" i="8"/>
  <c r="I48" i="8"/>
  <c r="H48" i="8"/>
  <c r="G48" i="8"/>
  <c r="F48" i="8"/>
  <c r="E48" i="8"/>
  <c r="D48" i="8"/>
  <c r="C48" i="8"/>
  <c r="N47" i="8"/>
  <c r="M47" i="8"/>
  <c r="L47" i="8"/>
  <c r="K47" i="8"/>
  <c r="J47" i="8"/>
  <c r="I47" i="8"/>
  <c r="H47" i="8"/>
  <c r="G47" i="8"/>
  <c r="F47" i="8"/>
  <c r="E47" i="8"/>
  <c r="D47" i="8"/>
  <c r="C47" i="8"/>
  <c r="N42" i="8"/>
  <c r="M42" i="8"/>
  <c r="L42" i="8"/>
  <c r="K42" i="8"/>
  <c r="J42" i="8"/>
  <c r="I42" i="8"/>
  <c r="H42" i="8"/>
  <c r="G42" i="8"/>
  <c r="F42" i="8"/>
  <c r="E42" i="8"/>
  <c r="D42" i="8"/>
  <c r="C42" i="8"/>
  <c r="N41" i="8"/>
  <c r="M41" i="8"/>
  <c r="L41" i="8"/>
  <c r="K41" i="8"/>
  <c r="J41" i="8"/>
  <c r="I41" i="8"/>
  <c r="H41" i="8"/>
  <c r="G41" i="8"/>
  <c r="F41" i="8"/>
  <c r="E41" i="8"/>
  <c r="D41" i="8"/>
  <c r="C41" i="8"/>
  <c r="N38" i="8"/>
  <c r="N39" i="8" s="1"/>
  <c r="N40" i="8" s="1"/>
  <c r="M38" i="8"/>
  <c r="M39" i="8" s="1"/>
  <c r="M40" i="8" s="1"/>
  <c r="L38" i="8"/>
  <c r="L39" i="8" s="1"/>
  <c r="K38" i="8"/>
  <c r="K39" i="8" s="1"/>
  <c r="K40" i="8" s="1"/>
  <c r="J38" i="8"/>
  <c r="J39" i="8" s="1"/>
  <c r="I38" i="8"/>
  <c r="I39" i="8" s="1"/>
  <c r="H38" i="8"/>
  <c r="H39" i="8" s="1"/>
  <c r="G38" i="8"/>
  <c r="G39" i="8" s="1"/>
  <c r="F38" i="8"/>
  <c r="F39" i="8" s="1"/>
  <c r="E38" i="8"/>
  <c r="E39" i="8" s="1"/>
  <c r="D38" i="8"/>
  <c r="D39" i="8" s="1"/>
  <c r="C38" i="8"/>
  <c r="C39" i="8" s="1"/>
  <c r="N48" i="7"/>
  <c r="M48" i="7"/>
  <c r="L48" i="7"/>
  <c r="K48" i="7"/>
  <c r="J48" i="7"/>
  <c r="I48" i="7"/>
  <c r="H48" i="7"/>
  <c r="G48" i="7"/>
  <c r="F48" i="7"/>
  <c r="E48" i="7"/>
  <c r="D48" i="7"/>
  <c r="C48" i="7"/>
  <c r="N47" i="7"/>
  <c r="M47" i="7"/>
  <c r="L47" i="7"/>
  <c r="K47" i="7"/>
  <c r="J47" i="7"/>
  <c r="I47" i="7"/>
  <c r="H47" i="7"/>
  <c r="G47" i="7"/>
  <c r="F47" i="7"/>
  <c r="E47" i="7"/>
  <c r="D47" i="7"/>
  <c r="C47" i="7"/>
  <c r="N42" i="7"/>
  <c r="M42" i="7"/>
  <c r="L42" i="7"/>
  <c r="K42" i="7"/>
  <c r="J42" i="7"/>
  <c r="I42" i="7"/>
  <c r="H42" i="7"/>
  <c r="G42" i="7"/>
  <c r="F42" i="7"/>
  <c r="E42" i="7"/>
  <c r="D42" i="7"/>
  <c r="C42" i="7"/>
  <c r="N41" i="7"/>
  <c r="M41" i="7"/>
  <c r="L41" i="7"/>
  <c r="K41" i="7"/>
  <c r="J41" i="7"/>
  <c r="I41" i="7"/>
  <c r="H41" i="7"/>
  <c r="G41" i="7"/>
  <c r="F41" i="7"/>
  <c r="E41" i="7"/>
  <c r="D41" i="7"/>
  <c r="C41" i="7"/>
  <c r="N38" i="7"/>
  <c r="N39" i="7" s="1"/>
  <c r="M38" i="7"/>
  <c r="M39" i="7" s="1"/>
  <c r="L38" i="7"/>
  <c r="L39" i="7" s="1"/>
  <c r="K38" i="7"/>
  <c r="K39" i="7" s="1"/>
  <c r="J38" i="7"/>
  <c r="J39" i="7" s="1"/>
  <c r="J40" i="7" s="1"/>
  <c r="I38" i="7"/>
  <c r="I39" i="7" s="1"/>
  <c r="I40" i="7" s="1"/>
  <c r="H38" i="7"/>
  <c r="H39" i="7" s="1"/>
  <c r="G38" i="7"/>
  <c r="G39" i="7" s="1"/>
  <c r="F38" i="7"/>
  <c r="F39" i="7" s="1"/>
  <c r="E38" i="7"/>
  <c r="E39" i="7" s="1"/>
  <c r="D38" i="7"/>
  <c r="D39" i="7" s="1"/>
  <c r="C38" i="7"/>
  <c r="C39" i="7" s="1"/>
  <c r="N48" i="6"/>
  <c r="M48" i="6"/>
  <c r="L48" i="6"/>
  <c r="K48" i="6"/>
  <c r="J48" i="6"/>
  <c r="I48" i="6"/>
  <c r="H48" i="6"/>
  <c r="G48" i="6"/>
  <c r="F48" i="6"/>
  <c r="E48" i="6"/>
  <c r="D48" i="6"/>
  <c r="C48" i="6"/>
  <c r="N47" i="6"/>
  <c r="M47" i="6"/>
  <c r="L47" i="6"/>
  <c r="K47" i="6"/>
  <c r="J47" i="6"/>
  <c r="I47" i="6"/>
  <c r="H47" i="6"/>
  <c r="G47" i="6"/>
  <c r="F47" i="6"/>
  <c r="E47" i="6"/>
  <c r="D47" i="6"/>
  <c r="C47" i="6"/>
  <c r="N42" i="6"/>
  <c r="M42" i="6"/>
  <c r="L42" i="6"/>
  <c r="K42" i="6"/>
  <c r="J42" i="6"/>
  <c r="I42" i="6"/>
  <c r="H42" i="6"/>
  <c r="G42" i="6"/>
  <c r="F42" i="6"/>
  <c r="E42" i="6"/>
  <c r="D42" i="6"/>
  <c r="C42" i="6"/>
  <c r="N41" i="6"/>
  <c r="M41" i="6"/>
  <c r="L41" i="6"/>
  <c r="K41" i="6"/>
  <c r="J41" i="6"/>
  <c r="I41" i="6"/>
  <c r="H41" i="6"/>
  <c r="G41" i="6"/>
  <c r="F41" i="6"/>
  <c r="E41" i="6"/>
  <c r="D41" i="6"/>
  <c r="C41" i="6"/>
  <c r="N38" i="6"/>
  <c r="N39" i="6" s="1"/>
  <c r="N40" i="6" s="1"/>
  <c r="M38" i="6"/>
  <c r="M39" i="6" s="1"/>
  <c r="M40" i="6" s="1"/>
  <c r="L38" i="6"/>
  <c r="L39" i="6" s="1"/>
  <c r="K38" i="6"/>
  <c r="K39" i="6" s="1"/>
  <c r="K40" i="6" s="1"/>
  <c r="J38" i="6"/>
  <c r="J39" i="6" s="1"/>
  <c r="I38" i="6"/>
  <c r="I39" i="6" s="1"/>
  <c r="H38" i="6"/>
  <c r="H39" i="6" s="1"/>
  <c r="G38" i="6"/>
  <c r="G39" i="6" s="1"/>
  <c r="F38" i="6"/>
  <c r="F39" i="6" s="1"/>
  <c r="F40" i="6" s="1"/>
  <c r="E38" i="6"/>
  <c r="E39" i="6" s="1"/>
  <c r="E40" i="6" s="1"/>
  <c r="D38" i="6"/>
  <c r="D39" i="6" s="1"/>
  <c r="C38" i="6"/>
  <c r="C39" i="6" s="1"/>
  <c r="C40" i="6" s="1"/>
  <c r="N48" i="5"/>
  <c r="M48" i="5"/>
  <c r="L48" i="5"/>
  <c r="K48" i="5"/>
  <c r="J48" i="5"/>
  <c r="I48" i="5"/>
  <c r="H48" i="5"/>
  <c r="G48" i="5"/>
  <c r="F48" i="5"/>
  <c r="E48" i="5"/>
  <c r="D48" i="5"/>
  <c r="C48" i="5"/>
  <c r="N47" i="5"/>
  <c r="M47" i="5"/>
  <c r="L47" i="5"/>
  <c r="K47" i="5"/>
  <c r="J47" i="5"/>
  <c r="I47" i="5"/>
  <c r="H47" i="5"/>
  <c r="G47" i="5"/>
  <c r="F47" i="5"/>
  <c r="E47" i="5"/>
  <c r="D47" i="5"/>
  <c r="C47" i="5"/>
  <c r="N42" i="5"/>
  <c r="M42" i="5"/>
  <c r="L42" i="5"/>
  <c r="K42" i="5"/>
  <c r="J42" i="5"/>
  <c r="I42" i="5"/>
  <c r="H42" i="5"/>
  <c r="G42" i="5"/>
  <c r="F42" i="5"/>
  <c r="E42" i="5"/>
  <c r="D42" i="5"/>
  <c r="C42" i="5"/>
  <c r="N41" i="5"/>
  <c r="M41" i="5"/>
  <c r="L41" i="5"/>
  <c r="K41" i="5"/>
  <c r="J41" i="5"/>
  <c r="I41" i="5"/>
  <c r="H41" i="5"/>
  <c r="G41" i="5"/>
  <c r="F41" i="5"/>
  <c r="E41" i="5"/>
  <c r="D41" i="5"/>
  <c r="C41" i="5"/>
  <c r="N38" i="5"/>
  <c r="N39" i="5" s="1"/>
  <c r="M38" i="5"/>
  <c r="M39" i="5" s="1"/>
  <c r="L38" i="5"/>
  <c r="L39" i="5" s="1"/>
  <c r="K38" i="5"/>
  <c r="K39" i="5" s="1"/>
  <c r="J38" i="5"/>
  <c r="J39" i="5" s="1"/>
  <c r="J40" i="5" s="1"/>
  <c r="I38" i="5"/>
  <c r="I39" i="5" s="1"/>
  <c r="I40" i="5" s="1"/>
  <c r="H38" i="5"/>
  <c r="H39" i="5" s="1"/>
  <c r="G38" i="5"/>
  <c r="G39" i="5" s="1"/>
  <c r="G40" i="5" s="1"/>
  <c r="F38" i="5"/>
  <c r="F39" i="5" s="1"/>
  <c r="E38" i="5"/>
  <c r="E39" i="5" s="1"/>
  <c r="D38" i="5"/>
  <c r="D39" i="5" s="1"/>
  <c r="C38" i="5"/>
  <c r="C39" i="5" s="1"/>
  <c r="N48" i="4"/>
  <c r="M48" i="4"/>
  <c r="L48" i="4"/>
  <c r="K48" i="4"/>
  <c r="J48" i="4"/>
  <c r="I48" i="4"/>
  <c r="H48" i="4"/>
  <c r="G48" i="4"/>
  <c r="F48" i="4"/>
  <c r="E48" i="4"/>
  <c r="D48" i="4"/>
  <c r="C48" i="4"/>
  <c r="N47" i="4"/>
  <c r="M47" i="4"/>
  <c r="L47" i="4"/>
  <c r="K47" i="4"/>
  <c r="J47" i="4"/>
  <c r="I47" i="4"/>
  <c r="H47" i="4"/>
  <c r="G47" i="4"/>
  <c r="F47" i="4"/>
  <c r="E47" i="4"/>
  <c r="D47" i="4"/>
  <c r="C47" i="4"/>
  <c r="N42" i="4"/>
  <c r="M42" i="4"/>
  <c r="L42" i="4"/>
  <c r="K42" i="4"/>
  <c r="J42" i="4"/>
  <c r="I42" i="4"/>
  <c r="H42" i="4"/>
  <c r="G42" i="4"/>
  <c r="F42" i="4"/>
  <c r="E42" i="4"/>
  <c r="D42" i="4"/>
  <c r="C42" i="4"/>
  <c r="N41" i="4"/>
  <c r="M41" i="4"/>
  <c r="L41" i="4"/>
  <c r="K41" i="4"/>
  <c r="J41" i="4"/>
  <c r="I41" i="4"/>
  <c r="H41" i="4"/>
  <c r="G41" i="4"/>
  <c r="F41" i="4"/>
  <c r="E41" i="4"/>
  <c r="D41" i="4"/>
  <c r="C41" i="4"/>
  <c r="N38" i="4"/>
  <c r="N39" i="4" s="1"/>
  <c r="N40" i="4" s="1"/>
  <c r="M38" i="4"/>
  <c r="M39" i="4" s="1"/>
  <c r="M40" i="4" s="1"/>
  <c r="L38" i="4"/>
  <c r="L39" i="4" s="1"/>
  <c r="K38" i="4"/>
  <c r="K39" i="4" s="1"/>
  <c r="K40" i="4" s="1"/>
  <c r="J38" i="4"/>
  <c r="J39" i="4" s="1"/>
  <c r="I38" i="4"/>
  <c r="I39" i="4" s="1"/>
  <c r="H38" i="4"/>
  <c r="H39" i="4" s="1"/>
  <c r="G38" i="4"/>
  <c r="G39" i="4" s="1"/>
  <c r="F38" i="4"/>
  <c r="F39" i="4" s="1"/>
  <c r="E38" i="4"/>
  <c r="E39" i="4" s="1"/>
  <c r="D38" i="4"/>
  <c r="D39" i="4" s="1"/>
  <c r="C38" i="4"/>
  <c r="C39" i="4" s="1"/>
  <c r="C40" i="4" s="1"/>
  <c r="N48" i="3"/>
  <c r="M48" i="3"/>
  <c r="L48" i="3"/>
  <c r="K48" i="3"/>
  <c r="J48" i="3"/>
  <c r="I48" i="3"/>
  <c r="H48" i="3"/>
  <c r="G48" i="3"/>
  <c r="F48" i="3"/>
  <c r="E48" i="3"/>
  <c r="D48" i="3"/>
  <c r="C48" i="3"/>
  <c r="N47" i="3"/>
  <c r="M47" i="3"/>
  <c r="L47" i="3"/>
  <c r="K47" i="3"/>
  <c r="J47" i="3"/>
  <c r="I47" i="3"/>
  <c r="H47" i="3"/>
  <c r="G47" i="3"/>
  <c r="F47" i="3"/>
  <c r="E47" i="3"/>
  <c r="D47" i="3"/>
  <c r="C47" i="3"/>
  <c r="N42" i="3"/>
  <c r="M42" i="3"/>
  <c r="L42" i="3"/>
  <c r="K42" i="3"/>
  <c r="J42" i="3"/>
  <c r="I42" i="3"/>
  <c r="H42" i="3"/>
  <c r="G42" i="3"/>
  <c r="F42" i="3"/>
  <c r="E42" i="3"/>
  <c r="D42" i="3"/>
  <c r="C42" i="3"/>
  <c r="N41" i="3"/>
  <c r="M41" i="3"/>
  <c r="L41" i="3"/>
  <c r="K41" i="3"/>
  <c r="J41" i="3"/>
  <c r="I41" i="3"/>
  <c r="H41" i="3"/>
  <c r="G41" i="3"/>
  <c r="F41" i="3"/>
  <c r="E41" i="3"/>
  <c r="D41" i="3"/>
  <c r="C41" i="3"/>
  <c r="N38" i="3"/>
  <c r="N39" i="3" s="1"/>
  <c r="M38" i="3"/>
  <c r="M39" i="3" s="1"/>
  <c r="L38" i="3"/>
  <c r="L39" i="3" s="1"/>
  <c r="K38" i="3"/>
  <c r="K39" i="3" s="1"/>
  <c r="J38" i="3"/>
  <c r="J39" i="3" s="1"/>
  <c r="J40" i="3" s="1"/>
  <c r="I38" i="3"/>
  <c r="I39" i="3" s="1"/>
  <c r="I40" i="3" s="1"/>
  <c r="H38" i="3"/>
  <c r="H39" i="3" s="1"/>
  <c r="G38" i="3"/>
  <c r="G39" i="3" s="1"/>
  <c r="F38" i="3"/>
  <c r="F39" i="3" s="1"/>
  <c r="E38" i="3"/>
  <c r="E39" i="3" s="1"/>
  <c r="D38" i="3"/>
  <c r="D39" i="3" s="1"/>
  <c r="C38" i="3"/>
  <c r="C39" i="3" s="1"/>
  <c r="D40" i="11" l="1"/>
  <c r="C40" i="17"/>
  <c r="F40" i="17"/>
  <c r="D40" i="16"/>
  <c r="C40" i="15"/>
  <c r="D40" i="12"/>
  <c r="C40" i="8"/>
  <c r="E40" i="8"/>
  <c r="F40" i="8"/>
  <c r="G40" i="7"/>
  <c r="E40" i="4"/>
  <c r="F40" i="4"/>
  <c r="G40" i="3"/>
  <c r="C40" i="13"/>
  <c r="D40" i="3"/>
  <c r="L40" i="3"/>
  <c r="H40" i="4"/>
  <c r="D40" i="5"/>
  <c r="L40" i="5"/>
  <c r="H40" i="6"/>
  <c r="D40" i="7"/>
  <c r="L40" i="7"/>
  <c r="H40" i="8"/>
  <c r="D40" i="9"/>
  <c r="L40" i="9"/>
  <c r="J40" i="10"/>
  <c r="N40" i="15"/>
  <c r="J40" i="14"/>
  <c r="F40" i="13"/>
  <c r="N40" i="13"/>
  <c r="H40" i="15"/>
  <c r="E40" i="16"/>
  <c r="G40" i="18"/>
  <c r="C40" i="19"/>
  <c r="K40" i="19"/>
  <c r="H40" i="13"/>
  <c r="E40" i="14"/>
  <c r="M40" i="14"/>
  <c r="G40" i="16"/>
  <c r="J40" i="18"/>
  <c r="F40" i="19"/>
  <c r="N40" i="19"/>
  <c r="J40" i="16"/>
  <c r="N40" i="17"/>
  <c r="L40" i="14"/>
  <c r="C40" i="3"/>
  <c r="K40" i="3"/>
  <c r="G40" i="4"/>
  <c r="C40" i="5"/>
  <c r="K40" i="5"/>
  <c r="G40" i="6"/>
  <c r="C40" i="7"/>
  <c r="K40" i="7"/>
  <c r="G40" i="8"/>
  <c r="C40" i="9"/>
  <c r="K40" i="9"/>
  <c r="I40" i="10"/>
  <c r="H40" i="11"/>
  <c r="F40" i="12"/>
  <c r="N40" i="12"/>
  <c r="J40" i="13"/>
  <c r="F40" i="14"/>
  <c r="N40" i="14"/>
  <c r="J40" i="15"/>
  <c r="F40" i="16"/>
  <c r="N40" i="16"/>
  <c r="J40" i="17"/>
  <c r="F40" i="18"/>
  <c r="N40" i="18"/>
  <c r="J40" i="19"/>
  <c r="M40" i="3"/>
  <c r="I40" i="4"/>
  <c r="E40" i="5"/>
  <c r="M40" i="5"/>
  <c r="I40" i="6"/>
  <c r="E40" i="7"/>
  <c r="M40" i="7"/>
  <c r="I40" i="8"/>
  <c r="E40" i="9"/>
  <c r="C40" i="10"/>
  <c r="K40" i="10"/>
  <c r="J40" i="11"/>
  <c r="H40" i="12"/>
  <c r="D40" i="13"/>
  <c r="L40" i="13"/>
  <c r="H40" i="14"/>
  <c r="D40" i="15"/>
  <c r="L40" i="15"/>
  <c r="H40" i="16"/>
  <c r="D40" i="17"/>
  <c r="L40" i="17"/>
  <c r="H40" i="18"/>
  <c r="D40" i="19"/>
  <c r="L40" i="19"/>
  <c r="E40" i="3"/>
  <c r="F40" i="3"/>
  <c r="N40" i="3"/>
  <c r="J40" i="4"/>
  <c r="F40" i="5"/>
  <c r="N40" i="5"/>
  <c r="J40" i="6"/>
  <c r="F40" i="7"/>
  <c r="N40" i="7"/>
  <c r="J40" i="8"/>
  <c r="F40" i="9"/>
  <c r="N40" i="9"/>
  <c r="D40" i="10"/>
  <c r="L40" i="10"/>
  <c r="C40" i="11"/>
  <c r="K40" i="11"/>
  <c r="I40" i="12"/>
  <c r="E40" i="13"/>
  <c r="M40" i="13"/>
  <c r="I40" i="14"/>
  <c r="E40" i="15"/>
  <c r="M40" i="15"/>
  <c r="I40" i="16"/>
  <c r="E40" i="17"/>
  <c r="M40" i="17"/>
  <c r="I40" i="18"/>
  <c r="E40" i="19"/>
  <c r="M40" i="19"/>
  <c r="H40" i="3"/>
  <c r="D40" i="4"/>
  <c r="L40" i="4"/>
  <c r="H40" i="5"/>
  <c r="D40" i="6"/>
  <c r="L40" i="6"/>
  <c r="H40" i="7"/>
  <c r="D40" i="8"/>
  <c r="L40" i="8"/>
  <c r="H40" i="9"/>
  <c r="F40" i="10"/>
  <c r="E40" i="11"/>
  <c r="C40" i="12"/>
  <c r="K40" i="12"/>
  <c r="G40" i="13"/>
  <c r="C40" i="14"/>
  <c r="K40" i="14"/>
  <c r="G40" i="15"/>
  <c r="C40" i="16"/>
  <c r="K40" i="16"/>
  <c r="G40" i="17"/>
  <c r="C40" i="18"/>
  <c r="K40" i="18"/>
  <c r="G40" i="19"/>
</calcChain>
</file>

<file path=xl/comments1.xml><?xml version="1.0" encoding="utf-8"?>
<comments xmlns="http://schemas.openxmlformats.org/spreadsheetml/2006/main">
  <authors>
    <author>Rikard Pavelic</author>
  </authors>
  <commentList>
    <comment ref="M39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2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</commentList>
</comments>
</file>

<file path=xl/comments10.xml><?xml version="1.0" encoding="utf-8"?>
<comments xmlns="http://schemas.openxmlformats.org/spreadsheetml/2006/main">
  <authors>
    <author>Rikard Pavelic</author>
  </authors>
  <commentList>
    <comment ref="C37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If vanilla POCO is used Newtonsoft is much slower</t>
        </r>
      </text>
    </comment>
  </commentList>
</comments>
</file>

<file path=xl/comments11.xml><?xml version="1.0" encoding="utf-8"?>
<comments xmlns="http://schemas.openxmlformats.org/spreadsheetml/2006/main">
  <authors>
    <author>Rikard Pavelic</author>
  </authors>
  <commentList>
    <comment ref="C37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If vanilla POCO is used Newtonsoft times out</t>
        </r>
      </text>
    </comment>
  </commentList>
</comments>
</file>

<file path=xl/comments2.xml><?xml version="1.0" encoding="utf-8"?>
<comments xmlns="http://schemas.openxmlformats.org/spreadsheetml/2006/main">
  <authors>
    <author>Rikard Pavelic</author>
  </authors>
  <commentList>
    <comment ref="M39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2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</commentList>
</comments>
</file>

<file path=xl/comments3.xml><?xml version="1.0" encoding="utf-8"?>
<comments xmlns="http://schemas.openxmlformats.org/spreadsheetml/2006/main">
  <authors>
    <author>Rikard Pavelic</author>
  </authors>
  <commentList>
    <comment ref="M39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  <comment ref="M42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LocalDate is not serialized correctly</t>
        </r>
      </text>
    </comment>
  </commentList>
</comments>
</file>

<file path=xl/comments4.xml><?xml version="1.0" encoding="utf-8"?>
<comments xmlns="http://schemas.openxmlformats.org/spreadsheetml/2006/main">
  <authors>
    <author>Rikard Pavelic</author>
  </authors>
  <commentList>
    <comment ref="K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It justs creates an empty instance</t>
        </r>
      </text>
    </comment>
  </commentList>
</comments>
</file>

<file path=xl/comments5.xml><?xml version="1.0" encoding="utf-8"?>
<comments xmlns="http://schemas.openxmlformats.org/spreadsheetml/2006/main">
  <authors>
    <author>Rikard Pavelic</author>
  </authors>
  <commentList>
    <comment ref="K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It justs creates an empty instance</t>
        </r>
      </text>
    </comment>
  </commentList>
</comments>
</file>

<file path=xl/comments6.xml><?xml version="1.0" encoding="utf-8"?>
<comments xmlns="http://schemas.openxmlformats.org/spreadsheetml/2006/main">
  <authors>
    <author>Rikard Pavelic</author>
  </authors>
  <commentList>
    <comment ref="K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It justs creates an empty instance</t>
        </r>
      </text>
    </comment>
  </commentList>
</comments>
</file>

<file path=xl/comments7.xml><?xml version="1.0" encoding="utf-8"?>
<comments xmlns="http://schemas.openxmlformats.org/spreadsheetml/2006/main">
  <authors>
    <author>Rikard Pavelic</author>
  </authors>
  <commentList>
    <comment ref="K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It justs creates an empty instance</t>
        </r>
      </text>
    </comment>
  </commentList>
</comments>
</file>

<file path=xl/comments8.xml><?xml version="1.0" encoding="utf-8"?>
<comments xmlns="http://schemas.openxmlformats.org/spreadsheetml/2006/main">
  <authors>
    <author>Rikard Pavelic</author>
  </authors>
  <commentList>
    <comment ref="K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It justs creates an empty instance</t>
        </r>
      </text>
    </comment>
  </commentList>
</comments>
</file>

<file path=xl/comments9.xml><?xml version="1.0" encoding="utf-8"?>
<comments xmlns="http://schemas.openxmlformats.org/spreadsheetml/2006/main">
  <authors>
    <author>Rikard Pavelic</author>
  </authors>
  <commentList>
    <comment ref="K41" authorId="0">
      <text>
        <r>
          <rPr>
            <b/>
            <sz val="9"/>
            <color indexed="81"/>
            <rFont val="Tahoma"/>
            <family val="2"/>
            <charset val="238"/>
          </rPr>
          <t>Rikard Pavelic:</t>
        </r>
        <r>
          <rPr>
            <sz val="9"/>
            <color indexed="81"/>
            <rFont val="Tahoma"/>
            <family val="2"/>
            <charset val="238"/>
          </rPr>
          <t xml:space="preserve">
It justs creates an empty instance</t>
        </r>
      </text>
    </comment>
  </commentList>
</comments>
</file>

<file path=xl/sharedStrings.xml><?xml version="1.0" encoding="utf-8"?>
<sst xmlns="http://schemas.openxmlformats.org/spreadsheetml/2006/main" count="1545" uniqueCount="55">
  <si>
    <t>Serialization</t>
  </si>
  <si>
    <t>Deserialization</t>
  </si>
  <si>
    <t>Average</t>
  </si>
  <si>
    <t>Deviation</t>
  </si>
  <si>
    <t>Size</t>
  </si>
  <si>
    <t>Newtonsoft (size)</t>
  </si>
  <si>
    <t>Jackson</t>
  </si>
  <si>
    <t>Jackson (size)</t>
  </si>
  <si>
    <t>Service Stack</t>
  </si>
  <si>
    <t>Instance + serialization + deserialization:</t>
  </si>
  <si>
    <t>Instance:</t>
  </si>
  <si>
    <t>Instance + serialization:</t>
  </si>
  <si>
    <t>Newtonsoft</t>
  </si>
  <si>
    <t>Revenj</t>
  </si>
  <si>
    <t>DSL Platform Java</t>
  </si>
  <si>
    <t>Gson</t>
  </si>
  <si>
    <t>Revenj (size)</t>
  </si>
  <si>
    <t>Service Stack (size)</t>
  </si>
  <si>
    <t>Jil (size)</t>
  </si>
  <si>
    <t>NetJSON (size)</t>
  </si>
  <si>
    <t>DSL Platform Java (size)</t>
  </si>
  <si>
    <t>Gson (size)</t>
  </si>
  <si>
    <t>NetJSON</t>
  </si>
  <si>
    <t>Jil</t>
  </si>
  <si>
    <t>Instance</t>
  </si>
  <si>
    <t>All</t>
  </si>
  <si>
    <t>Jackson afterburner</t>
  </si>
  <si>
    <t>Genson</t>
  </si>
  <si>
    <t>Genson (size)</t>
  </si>
  <si>
    <t>fastJSON</t>
  </si>
  <si>
    <t>Alibaba</t>
  </si>
  <si>
    <t>Boon</t>
  </si>
  <si>
    <t>fastJSON (size)</t>
  </si>
  <si>
    <t>Boon (size)</t>
  </si>
  <si>
    <t>Alibaba (size)</t>
  </si>
  <si>
    <t>Startup times: SmallObject.Message</t>
  </si>
  <si>
    <t>100.000 SmallObjects.Message</t>
  </si>
  <si>
    <t>1.000.000 SmallObjects.Message</t>
  </si>
  <si>
    <t>10.000.000 SmallObjects.Message</t>
  </si>
  <si>
    <t>100.000 SmallObjects.Complex</t>
  </si>
  <si>
    <t>1.000.000 SmallObjects.Complex</t>
  </si>
  <si>
    <t>10.000.000 SmallObjects.Complex</t>
  </si>
  <si>
    <t>100.000 SmallObjects.Post</t>
  </si>
  <si>
    <t>1.000.000 SmallObjects.Post</t>
  </si>
  <si>
    <t>10.000.000 SmallObjects.Post</t>
  </si>
  <si>
    <t>10.000 StandardObjects.DeletePost</t>
  </si>
  <si>
    <t>100.000 StandardObjects.DeletePost</t>
  </si>
  <si>
    <t>1.000.000 StandardObjects.DeletePost</t>
  </si>
  <si>
    <t>10.000 StandardObjects.Post</t>
  </si>
  <si>
    <t>100.000 StandardObjects.Post</t>
  </si>
  <si>
    <t>1.000.000 StandardObjects.Post</t>
  </si>
  <si>
    <t>100 LargeObjects.Book</t>
  </si>
  <si>
    <t>1.000 LargeObjects.Book</t>
  </si>
  <si>
    <t>removed</t>
  </si>
  <si>
    <t>Newtonsoft (DSL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</si>
</sst>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432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Startup!$B$39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Startup!$C$37:$N$37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Startup!$C$39:$N$39</c:f>
              <c:numCache>
                <c:formatCode>#,##0.0</c:formatCode>
                <c:ptCount val="12"/>
                <c:pt idx="0">
                  <c:v>231.2</c:v>
                </c:pt>
                <c:pt idx="1">
                  <c:v>9.5999999999999979</c:v>
                </c:pt>
                <c:pt idx="2">
                  <c:v>37</c:v>
                </c:pt>
                <c:pt idx="3">
                  <c:v>127.80000000000001</c:v>
                </c:pt>
                <c:pt idx="4">
                  <c:v>544.79999999999995</c:v>
                </c:pt>
                <c:pt idx="5">
                  <c:v>229.8</c:v>
                </c:pt>
                <c:pt idx="6">
                  <c:v>66</c:v>
                </c:pt>
                <c:pt idx="7">
                  <c:v>0</c:v>
                </c:pt>
                <c:pt idx="8">
                  <c:v>45</c:v>
                </c:pt>
                <c:pt idx="9">
                  <c:v>62</c:v>
                </c:pt>
                <c:pt idx="10">
                  <c:v>108</c:v>
                </c:pt>
                <c:pt idx="11">
                  <c:v>22.2</c:v>
                </c:pt>
              </c:numCache>
            </c:numRef>
          </c:val>
        </c:ser>
        <c:ser>
          <c:idx val="1"/>
          <c:order val="1"/>
          <c:tx>
            <c:strRef>
              <c:f>Startup!$B$40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Startup!$C$37:$N$37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Startup!$C$40:$N$40</c:f>
              <c:numCache>
                <c:formatCode>#,##0.0</c:formatCode>
                <c:ptCount val="12"/>
                <c:pt idx="0">
                  <c:v>102.19999999999999</c:v>
                </c:pt>
                <c:pt idx="1">
                  <c:v>30.600000000000012</c:v>
                </c:pt>
                <c:pt idx="2">
                  <c:v>44</c:v>
                </c:pt>
                <c:pt idx="3">
                  <c:v>70.799999999999983</c:v>
                </c:pt>
                <c:pt idx="4">
                  <c:v>209.60000000000002</c:v>
                </c:pt>
                <c:pt idx="5">
                  <c:v>6.1999999999999886</c:v>
                </c:pt>
                <c:pt idx="6">
                  <c:v>35</c:v>
                </c:pt>
                <c:pt idx="7">
                  <c:v>1</c:v>
                </c:pt>
                <c:pt idx="8">
                  <c:v>4</c:v>
                </c:pt>
                <c:pt idx="9">
                  <c:v>29</c:v>
                </c:pt>
                <c:pt idx="10">
                  <c:v>19.599999999999994</c:v>
                </c:pt>
                <c:pt idx="11">
                  <c:v>2.8000000000000007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937664"/>
        <c:axId val="95939200"/>
      </c:barChart>
      <c:catAx>
        <c:axId val="95937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95939200"/>
        <c:crosses val="autoZero"/>
        <c:auto val="1"/>
        <c:lblAlgn val="ctr"/>
        <c:lblOffset val="100"/>
        <c:noMultiLvlLbl val="0"/>
      </c:catAx>
      <c:valAx>
        <c:axId val="95939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9593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C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C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1'!$C$42:$N$42</c:f>
              <c:numCache>
                <c:formatCode>#,##0</c:formatCode>
                <c:ptCount val="12"/>
                <c:pt idx="0">
                  <c:v>3346889</c:v>
                </c:pt>
                <c:pt idx="1">
                  <c:v>3346472</c:v>
                </c:pt>
                <c:pt idx="2">
                  <c:v>3346489</c:v>
                </c:pt>
                <c:pt idx="3">
                  <c:v>3346489</c:v>
                </c:pt>
                <c:pt idx="4" formatCode="#,##0.0">
                  <c:v>3346489</c:v>
                </c:pt>
                <c:pt idx="5" formatCode="#,##0.0">
                  <c:v>3346472</c:v>
                </c:pt>
                <c:pt idx="6" formatCode="#,##0.0">
                  <c:v>3346883</c:v>
                </c:pt>
                <c:pt idx="7" formatCode="#,##0.0">
                  <c:v>3346868</c:v>
                </c:pt>
                <c:pt idx="8" formatCode="#,##0.0">
                  <c:v>3346889</c:v>
                </c:pt>
                <c:pt idx="9" formatCode="#,##0.0">
                  <c:v>3346875</c:v>
                </c:pt>
                <c:pt idx="10" formatCode="#,##0.0">
                  <c:v>3346689</c:v>
                </c:pt>
                <c:pt idx="11" formatCode="#,##0.0">
                  <c:v>3346889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36000"/>
        <c:axId val="177616768"/>
      </c:barChart>
      <c:catAx>
        <c:axId val="177536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7616768"/>
        <c:crosses val="autoZero"/>
        <c:auto val="1"/>
        <c:lblAlgn val="ctr"/>
        <c:lblOffset val="100"/>
        <c:noMultiLvlLbl val="0"/>
      </c:catAx>
      <c:valAx>
        <c:axId val="177616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753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C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C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2'!$C$39:$N$39</c:f>
              <c:numCache>
                <c:formatCode>#,##0.0</c:formatCode>
                <c:ptCount val="12"/>
                <c:pt idx="0">
                  <c:v>3309.8</c:v>
                </c:pt>
                <c:pt idx="1">
                  <c:v>1583.6</c:v>
                </c:pt>
                <c:pt idx="2">
                  <c:v>2754</c:v>
                </c:pt>
                <c:pt idx="3">
                  <c:v>4775.4000000000005</c:v>
                </c:pt>
                <c:pt idx="4">
                  <c:v>2365.4</c:v>
                </c:pt>
                <c:pt idx="5">
                  <c:v>1714.6000000000001</c:v>
                </c:pt>
                <c:pt idx="6">
                  <c:v>1098.4000000000001</c:v>
                </c:pt>
                <c:pt idx="7">
                  <c:v>495</c:v>
                </c:pt>
                <c:pt idx="8">
                  <c:v>3694.3999999999996</c:v>
                </c:pt>
                <c:pt idx="9">
                  <c:v>1757.9999999999998</c:v>
                </c:pt>
                <c:pt idx="10">
                  <c:v>968.60000000000014</c:v>
                </c:pt>
                <c:pt idx="11">
                  <c:v>1721.4</c:v>
                </c:pt>
              </c:numCache>
            </c:numRef>
          </c:val>
        </c:ser>
        <c:ser>
          <c:idx val="1"/>
          <c:order val="1"/>
          <c:tx>
            <c:strRef>
              <c:f>'Small C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C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2'!$C$40:$N$40</c:f>
              <c:numCache>
                <c:formatCode>#,##0.0</c:formatCode>
                <c:ptCount val="12"/>
                <c:pt idx="0">
                  <c:v>6171.4</c:v>
                </c:pt>
                <c:pt idx="1">
                  <c:v>1407.8000000000002</c:v>
                </c:pt>
                <c:pt idx="2">
                  <c:v>5835.7999999999993</c:v>
                </c:pt>
                <c:pt idx="3">
                  <c:v>4635.1999999999989</c:v>
                </c:pt>
                <c:pt idx="4">
                  <c:v>2186.6000000000004</c:v>
                </c:pt>
                <c:pt idx="5">
                  <c:v>1749.5999999999997</c:v>
                </c:pt>
                <c:pt idx="6">
                  <c:v>1468.3999999999996</c:v>
                </c:pt>
                <c:pt idx="7">
                  <c:v>435.4</c:v>
                </c:pt>
                <c:pt idx="8">
                  <c:v>4293.8</c:v>
                </c:pt>
                <c:pt idx="9">
                  <c:v>6774.5999999999995</c:v>
                </c:pt>
                <c:pt idx="10">
                  <c:v>1732.5999999999997</c:v>
                </c:pt>
                <c:pt idx="11">
                  <c:v>2036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69024"/>
        <c:axId val="194139264"/>
      </c:barChart>
      <c:catAx>
        <c:axId val="190769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4139264"/>
        <c:crosses val="autoZero"/>
        <c:auto val="1"/>
        <c:lblAlgn val="ctr"/>
        <c:lblOffset val="100"/>
        <c:noMultiLvlLbl val="0"/>
      </c:catAx>
      <c:valAx>
        <c:axId val="194139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9076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C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C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2'!$C$42:$N$42</c:f>
              <c:numCache>
                <c:formatCode>#,##0</c:formatCode>
                <c:ptCount val="12"/>
                <c:pt idx="0">
                  <c:v>36448889</c:v>
                </c:pt>
                <c:pt idx="1">
                  <c:v>36444872</c:v>
                </c:pt>
                <c:pt idx="2">
                  <c:v>36444889</c:v>
                </c:pt>
                <c:pt idx="3">
                  <c:v>36444889</c:v>
                </c:pt>
                <c:pt idx="4" formatCode="#,##0.0">
                  <c:v>36444889</c:v>
                </c:pt>
                <c:pt idx="5" formatCode="#,##0.0">
                  <c:v>36444872</c:v>
                </c:pt>
                <c:pt idx="6" formatCode="#,##0.0">
                  <c:v>36448883</c:v>
                </c:pt>
                <c:pt idx="7" formatCode="#,##0.0">
                  <c:v>36448868</c:v>
                </c:pt>
                <c:pt idx="8" formatCode="#,##0.0">
                  <c:v>36448889</c:v>
                </c:pt>
                <c:pt idx="9" formatCode="#,##0.0">
                  <c:v>36448875</c:v>
                </c:pt>
                <c:pt idx="10" formatCode="#,##0.0">
                  <c:v>36446889</c:v>
                </c:pt>
                <c:pt idx="11" formatCode="#,##0.0">
                  <c:v>36448889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15456"/>
        <c:axId val="195716992"/>
      </c:barChart>
      <c:catAx>
        <c:axId val="195715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5716992"/>
        <c:crosses val="autoZero"/>
        <c:auto val="1"/>
        <c:lblAlgn val="ctr"/>
        <c:lblOffset val="100"/>
        <c:noMultiLvlLbl val="0"/>
      </c:catAx>
      <c:valAx>
        <c:axId val="195716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9571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C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C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3'!$C$39:$N$39</c:f>
              <c:numCache>
                <c:formatCode>#,##0.0</c:formatCode>
                <c:ptCount val="12"/>
                <c:pt idx="0">
                  <c:v>32430</c:v>
                </c:pt>
                <c:pt idx="1">
                  <c:v>16104.6</c:v>
                </c:pt>
                <c:pt idx="2">
                  <c:v>27599.800000000003</c:v>
                </c:pt>
                <c:pt idx="3">
                  <c:v>44909</c:v>
                </c:pt>
                <c:pt idx="4">
                  <c:v>23410.199999999997</c:v>
                </c:pt>
                <c:pt idx="5">
                  <c:v>17169.8</c:v>
                </c:pt>
                <c:pt idx="6">
                  <c:v>9481</c:v>
                </c:pt>
                <c:pt idx="7">
                  <c:v>4473</c:v>
                </c:pt>
                <c:pt idx="8">
                  <c:v>36167</c:v>
                </c:pt>
                <c:pt idx="9">
                  <c:v>16102.400000000001</c:v>
                </c:pt>
                <c:pt idx="10">
                  <c:v>7746.8</c:v>
                </c:pt>
                <c:pt idx="11">
                  <c:v>14893.6</c:v>
                </c:pt>
              </c:numCache>
            </c:numRef>
          </c:val>
        </c:ser>
        <c:ser>
          <c:idx val="1"/>
          <c:order val="1"/>
          <c:tx>
            <c:strRef>
              <c:f>'Small C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C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3'!$C$40:$N$40</c:f>
              <c:numCache>
                <c:formatCode>#,##0.0</c:formatCode>
                <c:ptCount val="12"/>
                <c:pt idx="0">
                  <c:v>62345.600000000006</c:v>
                </c:pt>
                <c:pt idx="1">
                  <c:v>13923.199999999999</c:v>
                </c:pt>
                <c:pt idx="2">
                  <c:v>57867.799999999996</c:v>
                </c:pt>
                <c:pt idx="3">
                  <c:v>48375.6</c:v>
                </c:pt>
                <c:pt idx="4">
                  <c:v>21708.600000000006</c:v>
                </c:pt>
                <c:pt idx="5">
                  <c:v>17145</c:v>
                </c:pt>
                <c:pt idx="6">
                  <c:v>12381.2</c:v>
                </c:pt>
                <c:pt idx="7">
                  <c:v>3336.7999999999993</c:v>
                </c:pt>
                <c:pt idx="8">
                  <c:v>41465.800000000003</c:v>
                </c:pt>
                <c:pt idx="9">
                  <c:v>68150.999999999985</c:v>
                </c:pt>
                <c:pt idx="10">
                  <c:v>16964.8</c:v>
                </c:pt>
                <c:pt idx="11">
                  <c:v>21474.800000000003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11520"/>
        <c:axId val="197613056"/>
      </c:barChart>
      <c:catAx>
        <c:axId val="197611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7613056"/>
        <c:crosses val="autoZero"/>
        <c:auto val="1"/>
        <c:lblAlgn val="ctr"/>
        <c:lblOffset val="100"/>
        <c:noMultiLvlLbl val="0"/>
      </c:catAx>
      <c:valAx>
        <c:axId val="197613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9761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C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C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3'!$C$42:$N$42</c:f>
              <c:numCache>
                <c:formatCode>#,##0</c:formatCode>
                <c:ptCount val="12"/>
                <c:pt idx="0">
                  <c:v>394468889</c:v>
                </c:pt>
                <c:pt idx="1">
                  <c:v>394428872</c:v>
                </c:pt>
                <c:pt idx="2">
                  <c:v>394428889</c:v>
                </c:pt>
                <c:pt idx="3">
                  <c:v>394428889</c:v>
                </c:pt>
                <c:pt idx="4" formatCode="#,##0.0">
                  <c:v>394428889</c:v>
                </c:pt>
                <c:pt idx="5" formatCode="#,##0.0">
                  <c:v>394428872</c:v>
                </c:pt>
                <c:pt idx="6" formatCode="#,##0.0">
                  <c:v>394468883</c:v>
                </c:pt>
                <c:pt idx="7" formatCode="#,##0.0">
                  <c:v>394468868</c:v>
                </c:pt>
                <c:pt idx="8" formatCode="#,##0.0">
                  <c:v>394468889</c:v>
                </c:pt>
                <c:pt idx="9" formatCode="#,##0.0">
                  <c:v>394468875</c:v>
                </c:pt>
                <c:pt idx="10" formatCode="#,##0.0">
                  <c:v>394448889</c:v>
                </c:pt>
                <c:pt idx="11" formatCode="#,##0.0">
                  <c:v>394468889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945664"/>
        <c:axId val="200947584"/>
      </c:barChart>
      <c:catAx>
        <c:axId val="200945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0947584"/>
        <c:crosses val="autoZero"/>
        <c:auto val="1"/>
        <c:lblAlgn val="ctr"/>
        <c:lblOffset val="100"/>
        <c:noMultiLvlLbl val="0"/>
      </c:catAx>
      <c:valAx>
        <c:axId val="200947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0094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P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1'!$C$39:$N$39</c:f>
              <c:numCache>
                <c:formatCode>#,##0.0</c:formatCode>
                <c:ptCount val="12"/>
                <c:pt idx="0">
                  <c:v>303.60000000000002</c:v>
                </c:pt>
                <c:pt idx="1">
                  <c:v>113.00000000000001</c:v>
                </c:pt>
                <c:pt idx="2">
                  <c:v>344.20000000000005</c:v>
                </c:pt>
                <c:pt idx="3">
                  <c:v>519.6</c:v>
                </c:pt>
                <c:pt idx="4">
                  <c:v>216.40000000000003</c:v>
                </c:pt>
                <c:pt idx="5">
                  <c:v>213.20000000000002</c:v>
                </c:pt>
                <c:pt idx="6">
                  <c:v>301.99999999999994</c:v>
                </c:pt>
                <c:pt idx="7">
                  <c:v>148.4</c:v>
                </c:pt>
                <c:pt idx="8">
                  <c:v>663.8</c:v>
                </c:pt>
                <c:pt idx="9">
                  <c:v>382.6</c:v>
                </c:pt>
                <c:pt idx="10">
                  <c:v>0</c:v>
                </c:pt>
                <c:pt idx="11">
                  <c:v>546.19999999999993</c:v>
                </c:pt>
              </c:numCache>
            </c:numRef>
          </c:val>
        </c:ser>
        <c:ser>
          <c:idx val="1"/>
          <c:order val="1"/>
          <c:tx>
            <c:strRef>
              <c:f>'Small P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1'!$C$40:$N$40</c:f>
              <c:numCache>
                <c:formatCode>#,##0.0</c:formatCode>
                <c:ptCount val="12"/>
                <c:pt idx="0">
                  <c:v>852</c:v>
                </c:pt>
                <c:pt idx="1">
                  <c:v>214.2</c:v>
                </c:pt>
                <c:pt idx="2">
                  <c:v>749.19999999999993</c:v>
                </c:pt>
                <c:pt idx="3">
                  <c:v>777.00000000000011</c:v>
                </c:pt>
                <c:pt idx="4">
                  <c:v>325.19999999999993</c:v>
                </c:pt>
                <c:pt idx="5">
                  <c:v>314.39999999999998</c:v>
                </c:pt>
                <c:pt idx="6">
                  <c:v>530</c:v>
                </c:pt>
                <c:pt idx="7">
                  <c:v>101.6</c:v>
                </c:pt>
                <c:pt idx="8">
                  <c:v>440.80000000000007</c:v>
                </c:pt>
                <c:pt idx="9">
                  <c:v>0</c:v>
                </c:pt>
                <c:pt idx="10">
                  <c:v>0</c:v>
                </c:pt>
                <c:pt idx="11">
                  <c:v>888.99999999999989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12064"/>
        <c:axId val="205113600"/>
      </c:barChart>
      <c:catAx>
        <c:axId val="205112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5113600"/>
        <c:crosses val="autoZero"/>
        <c:auto val="1"/>
        <c:lblAlgn val="ctr"/>
        <c:lblOffset val="100"/>
        <c:noMultiLvlLbl val="0"/>
      </c:catAx>
      <c:valAx>
        <c:axId val="205113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20511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P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1'!$C$42:$N$42</c:f>
              <c:numCache>
                <c:formatCode>#,##0</c:formatCode>
                <c:ptCount val="12"/>
                <c:pt idx="0">
                  <c:v>11938890</c:v>
                </c:pt>
                <c:pt idx="1">
                  <c:v>10188890</c:v>
                </c:pt>
                <c:pt idx="2">
                  <c:v>10738890</c:v>
                </c:pt>
                <c:pt idx="3">
                  <c:v>11838890</c:v>
                </c:pt>
                <c:pt idx="4" formatCode="#,##0.0">
                  <c:v>12238890</c:v>
                </c:pt>
                <c:pt idx="5" formatCode="#,##0.0">
                  <c:v>11188890</c:v>
                </c:pt>
                <c:pt idx="6" formatCode="#,##0.0">
                  <c:v>10188890</c:v>
                </c:pt>
                <c:pt idx="7" formatCode="#,##0.0">
                  <c:v>10188890</c:v>
                </c:pt>
                <c:pt idx="8" formatCode="#,##0.0">
                  <c:v>10938890</c:v>
                </c:pt>
                <c:pt idx="9" formatCode="#,##0.0">
                  <c:v>8988890</c:v>
                </c:pt>
                <c:pt idx="10" formatCode="#,##0.0">
                  <c:v>0</c:v>
                </c:pt>
                <c:pt idx="11" formatCode="#,##0.0">
                  <c:v>10938890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81344"/>
        <c:axId val="205882880"/>
      </c:barChart>
      <c:catAx>
        <c:axId val="205881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5882880"/>
        <c:crosses val="autoZero"/>
        <c:auto val="1"/>
        <c:lblAlgn val="ctr"/>
        <c:lblOffset val="100"/>
        <c:noMultiLvlLbl val="0"/>
      </c:catAx>
      <c:valAx>
        <c:axId val="205882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0588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P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2'!$C$39:$N$39</c:f>
              <c:numCache>
                <c:formatCode>#,##0.0</c:formatCode>
                <c:ptCount val="12"/>
                <c:pt idx="0">
                  <c:v>2978.2</c:v>
                </c:pt>
                <c:pt idx="1">
                  <c:v>1092.5999999999999</c:v>
                </c:pt>
                <c:pt idx="2">
                  <c:v>3447.9999999999995</c:v>
                </c:pt>
                <c:pt idx="3">
                  <c:v>4520.6000000000004</c:v>
                </c:pt>
                <c:pt idx="4">
                  <c:v>1783</c:v>
                </c:pt>
                <c:pt idx="5">
                  <c:v>1716.7999999999997</c:v>
                </c:pt>
                <c:pt idx="6">
                  <c:v>1558.6</c:v>
                </c:pt>
                <c:pt idx="7">
                  <c:v>358.40000000000009</c:v>
                </c:pt>
                <c:pt idx="8">
                  <c:v>4847</c:v>
                </c:pt>
                <c:pt idx="9">
                  <c:v>2116.1999999999998</c:v>
                </c:pt>
                <c:pt idx="10">
                  <c:v>0</c:v>
                </c:pt>
                <c:pt idx="11">
                  <c:v>3199</c:v>
                </c:pt>
              </c:numCache>
            </c:numRef>
          </c:val>
        </c:ser>
        <c:ser>
          <c:idx val="1"/>
          <c:order val="1"/>
          <c:tx>
            <c:strRef>
              <c:f>'Small P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2'!$C$40:$N$40</c:f>
              <c:numCache>
                <c:formatCode>#,##0.0</c:formatCode>
                <c:ptCount val="12"/>
                <c:pt idx="0">
                  <c:v>8120.9999999999991</c:v>
                </c:pt>
                <c:pt idx="1">
                  <c:v>1967.8000000000002</c:v>
                </c:pt>
                <c:pt idx="2">
                  <c:v>7250.6</c:v>
                </c:pt>
                <c:pt idx="3">
                  <c:v>7886.8</c:v>
                </c:pt>
                <c:pt idx="4">
                  <c:v>2945</c:v>
                </c:pt>
                <c:pt idx="5">
                  <c:v>3156</c:v>
                </c:pt>
                <c:pt idx="6">
                  <c:v>2686.3999999999996</c:v>
                </c:pt>
                <c:pt idx="7">
                  <c:v>576.59999999999991</c:v>
                </c:pt>
                <c:pt idx="8">
                  <c:v>4511.5999999999995</c:v>
                </c:pt>
                <c:pt idx="9">
                  <c:v>0</c:v>
                </c:pt>
                <c:pt idx="10">
                  <c:v>0</c:v>
                </c:pt>
                <c:pt idx="11">
                  <c:v>5609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89728"/>
        <c:axId val="214091264"/>
      </c:barChart>
      <c:catAx>
        <c:axId val="214089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091264"/>
        <c:crosses val="autoZero"/>
        <c:auto val="1"/>
        <c:lblAlgn val="ctr"/>
        <c:lblOffset val="100"/>
        <c:noMultiLvlLbl val="0"/>
      </c:catAx>
      <c:valAx>
        <c:axId val="214091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21408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P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2'!$C$42:$N$42</c:f>
              <c:numCache>
                <c:formatCode>#,##0</c:formatCode>
                <c:ptCount val="12"/>
                <c:pt idx="0">
                  <c:v>120388890</c:v>
                </c:pt>
                <c:pt idx="1">
                  <c:v>102888890</c:v>
                </c:pt>
                <c:pt idx="2">
                  <c:v>108388890</c:v>
                </c:pt>
                <c:pt idx="3">
                  <c:v>119388890</c:v>
                </c:pt>
                <c:pt idx="4" formatCode="#,##0.0">
                  <c:v>123388890</c:v>
                </c:pt>
                <c:pt idx="5" formatCode="#,##0.0">
                  <c:v>112888890</c:v>
                </c:pt>
                <c:pt idx="6" formatCode="#,##0.0">
                  <c:v>102888890</c:v>
                </c:pt>
                <c:pt idx="7" formatCode="#,##0.0">
                  <c:v>102888890</c:v>
                </c:pt>
                <c:pt idx="8" formatCode="#,##0.0">
                  <c:v>110388890</c:v>
                </c:pt>
                <c:pt idx="9" formatCode="#,##0.0">
                  <c:v>90888890</c:v>
                </c:pt>
                <c:pt idx="10" formatCode="#,##0.0">
                  <c:v>0</c:v>
                </c:pt>
                <c:pt idx="11" formatCode="#,##0.0">
                  <c:v>110388890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378496"/>
        <c:axId val="80384384"/>
      </c:barChart>
      <c:catAx>
        <c:axId val="80378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80384384"/>
        <c:crosses val="autoZero"/>
        <c:auto val="1"/>
        <c:lblAlgn val="ctr"/>
        <c:lblOffset val="100"/>
        <c:noMultiLvlLbl val="0"/>
      </c:catAx>
      <c:valAx>
        <c:axId val="80384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8037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P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3'!$C$39:$N$39</c:f>
              <c:numCache>
                <c:formatCode>#,##0.0</c:formatCode>
                <c:ptCount val="12"/>
                <c:pt idx="0">
                  <c:v>29905.399999999998</c:v>
                </c:pt>
                <c:pt idx="1">
                  <c:v>10405.799999999999</c:v>
                </c:pt>
                <c:pt idx="2">
                  <c:v>34277.800000000003</c:v>
                </c:pt>
                <c:pt idx="3">
                  <c:v>45947.600000000006</c:v>
                </c:pt>
                <c:pt idx="4">
                  <c:v>17507.800000000003</c:v>
                </c:pt>
                <c:pt idx="5">
                  <c:v>17112.599999999999</c:v>
                </c:pt>
                <c:pt idx="6">
                  <c:v>13007.4</c:v>
                </c:pt>
                <c:pt idx="7">
                  <c:v>2769.6000000000004</c:v>
                </c:pt>
                <c:pt idx="8">
                  <c:v>47228.4</c:v>
                </c:pt>
                <c:pt idx="9">
                  <c:v>19103.599999999999</c:v>
                </c:pt>
                <c:pt idx="10">
                  <c:v>0</c:v>
                </c:pt>
                <c:pt idx="11">
                  <c:v>28998.400000000001</c:v>
                </c:pt>
              </c:numCache>
            </c:numRef>
          </c:val>
        </c:ser>
        <c:ser>
          <c:idx val="1"/>
          <c:order val="1"/>
          <c:tx>
            <c:strRef>
              <c:f>'Small P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3'!$C$40:$N$40</c:f>
              <c:numCache>
                <c:formatCode>#,##0.0</c:formatCode>
                <c:ptCount val="12"/>
                <c:pt idx="0">
                  <c:v>80149.000000000015</c:v>
                </c:pt>
                <c:pt idx="1">
                  <c:v>20134.399999999998</c:v>
                </c:pt>
                <c:pt idx="2">
                  <c:v>71904.399999999994</c:v>
                </c:pt>
                <c:pt idx="3">
                  <c:v>75108</c:v>
                </c:pt>
                <c:pt idx="4">
                  <c:v>30611.999999999993</c:v>
                </c:pt>
                <c:pt idx="5">
                  <c:v>31543.599999999999</c:v>
                </c:pt>
                <c:pt idx="6">
                  <c:v>25754.400000000001</c:v>
                </c:pt>
                <c:pt idx="7">
                  <c:v>4873.6000000000004</c:v>
                </c:pt>
                <c:pt idx="8">
                  <c:v>44872.2</c:v>
                </c:pt>
                <c:pt idx="9">
                  <c:v>0</c:v>
                </c:pt>
                <c:pt idx="10">
                  <c:v>0</c:v>
                </c:pt>
                <c:pt idx="11">
                  <c:v>55605.2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04416"/>
        <c:axId val="95405952"/>
      </c:barChart>
      <c:catAx>
        <c:axId val="95404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95405952"/>
        <c:crosses val="autoZero"/>
        <c:auto val="1"/>
        <c:lblAlgn val="ctr"/>
        <c:lblOffset val="100"/>
        <c:noMultiLvlLbl val="0"/>
      </c:catAx>
      <c:valAx>
        <c:axId val="95405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9540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Startup!$B$42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Startup!$C$37:$N$37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Startup!$C$42:$N$42</c:f>
              <c:numCache>
                <c:formatCode>#,##0</c:formatCode>
                <c:ptCount val="12"/>
                <c:pt idx="0">
                  <c:v>40</c:v>
                </c:pt>
                <c:pt idx="1">
                  <c:v>28</c:v>
                </c:pt>
                <c:pt idx="2">
                  <c:v>40</c:v>
                </c:pt>
                <c:pt idx="3">
                  <c:v>40</c:v>
                </c:pt>
                <c:pt idx="4" formatCode="#,##0.0">
                  <c:v>40</c:v>
                </c:pt>
                <c:pt idx="5" formatCode="#,##0.0">
                  <c:v>28</c:v>
                </c:pt>
                <c:pt idx="6" formatCode="#,##0.0">
                  <c:v>28</c:v>
                </c:pt>
                <c:pt idx="7" formatCode="#,##0.0">
                  <c:v>28</c:v>
                </c:pt>
                <c:pt idx="8" formatCode="#,##0.0">
                  <c:v>40</c:v>
                </c:pt>
                <c:pt idx="9" formatCode="#,##0.0">
                  <c:v>28</c:v>
                </c:pt>
                <c:pt idx="10" formatCode="#,##0.0">
                  <c:v>40</c:v>
                </c:pt>
                <c:pt idx="11" formatCode="#,##0.0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639936"/>
        <c:axId val="107641472"/>
      </c:barChart>
      <c:catAx>
        <c:axId val="107639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7641472"/>
        <c:crosses val="autoZero"/>
        <c:auto val="1"/>
        <c:lblAlgn val="ctr"/>
        <c:lblOffset val="100"/>
        <c:noMultiLvlLbl val="0"/>
      </c:catAx>
      <c:valAx>
        <c:axId val="107641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0763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P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P 3'!$C$42:$N$42</c:f>
              <c:numCache>
                <c:formatCode>#,##0</c:formatCode>
                <c:ptCount val="12"/>
                <c:pt idx="0">
                  <c:v>1213888890</c:v>
                </c:pt>
                <c:pt idx="1">
                  <c:v>1038888890</c:v>
                </c:pt>
                <c:pt idx="2">
                  <c:v>1093888890</c:v>
                </c:pt>
                <c:pt idx="3">
                  <c:v>1203888890</c:v>
                </c:pt>
                <c:pt idx="4" formatCode="#,##0.0">
                  <c:v>1243888890</c:v>
                </c:pt>
                <c:pt idx="5" formatCode="#,##0.0">
                  <c:v>1138888890</c:v>
                </c:pt>
                <c:pt idx="6" formatCode="#,##0.0">
                  <c:v>1038888890</c:v>
                </c:pt>
                <c:pt idx="7" formatCode="#,##0.0">
                  <c:v>1038888890</c:v>
                </c:pt>
                <c:pt idx="8" formatCode="#,##0.0">
                  <c:v>1113888890</c:v>
                </c:pt>
                <c:pt idx="9" formatCode="#,##0.0">
                  <c:v>918888890</c:v>
                </c:pt>
                <c:pt idx="10" formatCode="#,##0.0">
                  <c:v>0</c:v>
                </c:pt>
                <c:pt idx="11" formatCode="#,##0.0">
                  <c:v>1113888890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35008"/>
        <c:axId val="95436800"/>
      </c:barChart>
      <c:catAx>
        <c:axId val="95435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95436800"/>
        <c:crosses val="autoZero"/>
        <c:auto val="1"/>
        <c:lblAlgn val="ctr"/>
        <c:lblOffset val="100"/>
        <c:noMultiLvlLbl val="0"/>
      </c:catAx>
      <c:valAx>
        <c:axId val="95436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9543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D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D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1'!$C$39:$N$39</c:f>
              <c:numCache>
                <c:formatCode>#,##0.0</c:formatCode>
                <c:ptCount val="12"/>
                <c:pt idx="0">
                  <c:v>351.2</c:v>
                </c:pt>
                <c:pt idx="1">
                  <c:v>56.000000000000014</c:v>
                </c:pt>
                <c:pt idx="2">
                  <c:v>0</c:v>
                </c:pt>
                <c:pt idx="3">
                  <c:v>281.60000000000002</c:v>
                </c:pt>
                <c:pt idx="4">
                  <c:v>0</c:v>
                </c:pt>
                <c:pt idx="5">
                  <c:v>0</c:v>
                </c:pt>
                <c:pt idx="6">
                  <c:v>431</c:v>
                </c:pt>
                <c:pt idx="7">
                  <c:v>100.4</c:v>
                </c:pt>
                <c:pt idx="8">
                  <c:v>405.8</c:v>
                </c:pt>
                <c:pt idx="9">
                  <c:v>0</c:v>
                </c:pt>
                <c:pt idx="10">
                  <c:v>0</c:v>
                </c:pt>
                <c:pt idx="11">
                  <c:v>385.6</c:v>
                </c:pt>
              </c:numCache>
            </c:numRef>
          </c:val>
        </c:ser>
        <c:ser>
          <c:idx val="1"/>
          <c:order val="1"/>
          <c:tx>
            <c:strRef>
              <c:f>'Std D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D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1'!$C$40:$N$40</c:f>
              <c:numCache>
                <c:formatCode>#,##0.0</c:formatCode>
                <c:ptCount val="12"/>
                <c:pt idx="0">
                  <c:v>276.8</c:v>
                </c:pt>
                <c:pt idx="1">
                  <c:v>123.39999999999999</c:v>
                </c:pt>
                <c:pt idx="2">
                  <c:v>0</c:v>
                </c:pt>
                <c:pt idx="3">
                  <c:v>273.79999999999995</c:v>
                </c:pt>
                <c:pt idx="4">
                  <c:v>0</c:v>
                </c:pt>
                <c:pt idx="5">
                  <c:v>0</c:v>
                </c:pt>
                <c:pt idx="6">
                  <c:v>582.20000000000005</c:v>
                </c:pt>
                <c:pt idx="7">
                  <c:v>149.20000000000002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449.6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804416"/>
        <c:axId val="95847168"/>
      </c:barChart>
      <c:catAx>
        <c:axId val="95804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95847168"/>
        <c:crosses val="autoZero"/>
        <c:auto val="1"/>
        <c:lblAlgn val="ctr"/>
        <c:lblOffset val="100"/>
        <c:noMultiLvlLbl val="0"/>
      </c:catAx>
      <c:valAx>
        <c:axId val="95847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9580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D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D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1'!$C$42:$N$42</c:f>
              <c:numCache>
                <c:formatCode>#,##0</c:formatCode>
                <c:ptCount val="12"/>
                <c:pt idx="0">
                  <c:v>2234454</c:v>
                </c:pt>
                <c:pt idx="1">
                  <c:v>1802584</c:v>
                </c:pt>
                <c:pt idx="2">
                  <c:v>0</c:v>
                </c:pt>
                <c:pt idx="3">
                  <c:v>1740659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1762584</c:v>
                </c:pt>
                <c:pt idx="7" formatCode="#,##0.0">
                  <c:v>1762584</c:v>
                </c:pt>
                <c:pt idx="8" formatCode="#,##0.0">
                  <c:v>2079785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1763995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880320"/>
        <c:axId val="95881856"/>
      </c:barChart>
      <c:catAx>
        <c:axId val="95880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95881856"/>
        <c:crosses val="autoZero"/>
        <c:auto val="1"/>
        <c:lblAlgn val="ctr"/>
        <c:lblOffset val="100"/>
        <c:noMultiLvlLbl val="0"/>
      </c:catAx>
      <c:valAx>
        <c:axId val="95881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9588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D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D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2'!$C$39:$N$39</c:f>
              <c:numCache>
                <c:formatCode>#,##0.0</c:formatCode>
                <c:ptCount val="12"/>
                <c:pt idx="0">
                  <c:v>1000.6</c:v>
                </c:pt>
                <c:pt idx="1">
                  <c:v>305.20000000000005</c:v>
                </c:pt>
                <c:pt idx="2">
                  <c:v>0</c:v>
                </c:pt>
                <c:pt idx="3">
                  <c:v>1010.8000000000001</c:v>
                </c:pt>
                <c:pt idx="4">
                  <c:v>0</c:v>
                </c:pt>
                <c:pt idx="5">
                  <c:v>0</c:v>
                </c:pt>
                <c:pt idx="6">
                  <c:v>825.59999999999991</c:v>
                </c:pt>
                <c:pt idx="7">
                  <c:v>192.6</c:v>
                </c:pt>
                <c:pt idx="8">
                  <c:v>1113.2</c:v>
                </c:pt>
                <c:pt idx="9">
                  <c:v>0</c:v>
                </c:pt>
                <c:pt idx="10">
                  <c:v>0</c:v>
                </c:pt>
                <c:pt idx="11">
                  <c:v>1043</c:v>
                </c:pt>
              </c:numCache>
            </c:numRef>
          </c:val>
        </c:ser>
        <c:ser>
          <c:idx val="1"/>
          <c:order val="1"/>
          <c:tx>
            <c:strRef>
              <c:f>'Std D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D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2'!$C$40:$N$40</c:f>
              <c:numCache>
                <c:formatCode>#,##0.0</c:formatCode>
                <c:ptCount val="12"/>
                <c:pt idx="0">
                  <c:v>1511.2000000000003</c:v>
                </c:pt>
                <c:pt idx="1">
                  <c:v>663.80000000000007</c:v>
                </c:pt>
                <c:pt idx="2">
                  <c:v>0</c:v>
                </c:pt>
                <c:pt idx="3">
                  <c:v>1326.3999999999996</c:v>
                </c:pt>
                <c:pt idx="4">
                  <c:v>0</c:v>
                </c:pt>
                <c:pt idx="5">
                  <c:v>0</c:v>
                </c:pt>
                <c:pt idx="6">
                  <c:v>1252.2</c:v>
                </c:pt>
                <c:pt idx="7">
                  <c:v>296.39999999999998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1322.9999999999998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730048"/>
        <c:axId val="109735936"/>
      </c:barChart>
      <c:catAx>
        <c:axId val="109730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9735936"/>
        <c:crosses val="autoZero"/>
        <c:auto val="1"/>
        <c:lblAlgn val="ctr"/>
        <c:lblOffset val="100"/>
        <c:noMultiLvlLbl val="0"/>
      </c:catAx>
      <c:valAx>
        <c:axId val="109735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09730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D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D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2'!$C$42:$N$42</c:f>
              <c:numCache>
                <c:formatCode>#,##0</c:formatCode>
                <c:ptCount val="12"/>
                <c:pt idx="0">
                  <c:v>23246001</c:v>
                </c:pt>
                <c:pt idx="1">
                  <c:v>18939843</c:v>
                </c:pt>
                <c:pt idx="2">
                  <c:v>0</c:v>
                </c:pt>
                <c:pt idx="3">
                  <c:v>18307918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18539843</c:v>
                </c:pt>
                <c:pt idx="7" formatCode="#,##0.0">
                  <c:v>18539843</c:v>
                </c:pt>
                <c:pt idx="8" formatCode="#,##0.0">
                  <c:v>21699332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18541254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769088"/>
        <c:axId val="109770624"/>
      </c:barChart>
      <c:catAx>
        <c:axId val="109769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9770624"/>
        <c:crosses val="autoZero"/>
        <c:auto val="1"/>
        <c:lblAlgn val="ctr"/>
        <c:lblOffset val="100"/>
        <c:noMultiLvlLbl val="0"/>
      </c:catAx>
      <c:valAx>
        <c:axId val="109770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0976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D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D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3'!$C$39:$N$39</c:f>
              <c:numCache>
                <c:formatCode>#,##0.0</c:formatCode>
                <c:ptCount val="12"/>
                <c:pt idx="0">
                  <c:v>7554.7999999999993</c:v>
                </c:pt>
                <c:pt idx="1">
                  <c:v>2867</c:v>
                </c:pt>
                <c:pt idx="2">
                  <c:v>0</c:v>
                </c:pt>
                <c:pt idx="3">
                  <c:v>8357.2000000000007</c:v>
                </c:pt>
                <c:pt idx="4">
                  <c:v>0</c:v>
                </c:pt>
                <c:pt idx="5">
                  <c:v>0</c:v>
                </c:pt>
                <c:pt idx="6">
                  <c:v>2931.2</c:v>
                </c:pt>
                <c:pt idx="7">
                  <c:v>947.00000000000011</c:v>
                </c:pt>
                <c:pt idx="8">
                  <c:v>6792</c:v>
                </c:pt>
                <c:pt idx="9">
                  <c:v>0</c:v>
                </c:pt>
                <c:pt idx="10">
                  <c:v>0</c:v>
                </c:pt>
                <c:pt idx="11">
                  <c:v>6819.4000000000005</c:v>
                </c:pt>
              </c:numCache>
            </c:numRef>
          </c:val>
        </c:ser>
        <c:ser>
          <c:idx val="1"/>
          <c:order val="1"/>
          <c:tx>
            <c:strRef>
              <c:f>'Std D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D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3'!$C$40:$N$40</c:f>
              <c:numCache>
                <c:formatCode>#,##0.0</c:formatCode>
                <c:ptCount val="12"/>
                <c:pt idx="0">
                  <c:v>13825.400000000001</c:v>
                </c:pt>
                <c:pt idx="1">
                  <c:v>6121.0000000000009</c:v>
                </c:pt>
                <c:pt idx="2">
                  <c:v>0</c:v>
                </c:pt>
                <c:pt idx="3">
                  <c:v>12019.8</c:v>
                </c:pt>
                <c:pt idx="4">
                  <c:v>0</c:v>
                </c:pt>
                <c:pt idx="5">
                  <c:v>0</c:v>
                </c:pt>
                <c:pt idx="6">
                  <c:v>6485.6</c:v>
                </c:pt>
                <c:pt idx="7">
                  <c:v>1291.5999999999999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9021.6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118400"/>
        <c:axId val="110119936"/>
      </c:barChart>
      <c:catAx>
        <c:axId val="110118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10119936"/>
        <c:crosses val="autoZero"/>
        <c:auto val="1"/>
        <c:lblAlgn val="ctr"/>
        <c:lblOffset val="100"/>
        <c:noMultiLvlLbl val="0"/>
      </c:catAx>
      <c:valAx>
        <c:axId val="110119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1011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D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D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D 3'!$C$42:$N$42</c:f>
              <c:numCache>
                <c:formatCode>#,##0</c:formatCode>
                <c:ptCount val="12"/>
                <c:pt idx="0">
                  <c:v>240923562</c:v>
                </c:pt>
                <c:pt idx="1">
                  <c:v>198474556</c:v>
                </c:pt>
                <c:pt idx="2">
                  <c:v>0</c:v>
                </c:pt>
                <c:pt idx="3">
                  <c:v>192142631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194474556</c:v>
                </c:pt>
                <c:pt idx="7" formatCode="#,##0.0">
                  <c:v>194474556</c:v>
                </c:pt>
                <c:pt idx="8" formatCode="#,##0.0">
                  <c:v>226056893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194475967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128512"/>
        <c:axId val="110154880"/>
      </c:barChart>
      <c:catAx>
        <c:axId val="110128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0154880"/>
        <c:crosses val="autoZero"/>
        <c:auto val="1"/>
        <c:lblAlgn val="ctr"/>
        <c:lblOffset val="100"/>
        <c:noMultiLvlLbl val="0"/>
      </c:catAx>
      <c:valAx>
        <c:axId val="110154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1012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P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1'!$C$39:$N$39</c:f>
              <c:numCache>
                <c:formatCode>#,##0.0</c:formatCode>
                <c:ptCount val="12"/>
                <c:pt idx="0">
                  <c:v>2283.2000000000003</c:v>
                </c:pt>
                <c:pt idx="1">
                  <c:v>636.80000000000007</c:v>
                </c:pt>
                <c:pt idx="2">
                  <c:v>0</c:v>
                </c:pt>
                <c:pt idx="3">
                  <c:v>2121.3999999999996</c:v>
                </c:pt>
                <c:pt idx="4">
                  <c:v>0</c:v>
                </c:pt>
                <c:pt idx="5">
                  <c:v>0</c:v>
                </c:pt>
                <c:pt idx="6">
                  <c:v>1099.8</c:v>
                </c:pt>
                <c:pt idx="7">
                  <c:v>448</c:v>
                </c:pt>
                <c:pt idx="8">
                  <c:v>1262.6000000000001</c:v>
                </c:pt>
                <c:pt idx="9">
                  <c:v>0</c:v>
                </c:pt>
                <c:pt idx="10">
                  <c:v>0</c:v>
                </c:pt>
                <c:pt idx="11">
                  <c:v>2190</c:v>
                </c:pt>
              </c:numCache>
            </c:numRef>
          </c:val>
        </c:ser>
        <c:ser>
          <c:idx val="1"/>
          <c:order val="1"/>
          <c:tx>
            <c:strRef>
              <c:f>'Std P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1'!$C$40:$N$40</c:f>
              <c:numCache>
                <c:formatCode>#,##0.0</c:formatCode>
                <c:ptCount val="12"/>
                <c:pt idx="0">
                  <c:v>3033.8</c:v>
                </c:pt>
                <c:pt idx="1">
                  <c:v>1199.3999999999996</c:v>
                </c:pt>
                <c:pt idx="2">
                  <c:v>0</c:v>
                </c:pt>
                <c:pt idx="3">
                  <c:v>3536.0000000000009</c:v>
                </c:pt>
                <c:pt idx="4">
                  <c:v>0</c:v>
                </c:pt>
                <c:pt idx="5">
                  <c:v>0</c:v>
                </c:pt>
                <c:pt idx="6">
                  <c:v>1899.9999999999998</c:v>
                </c:pt>
                <c:pt idx="7">
                  <c:v>294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2167.2000000000003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092480"/>
        <c:axId val="111094016"/>
      </c:barChart>
      <c:catAx>
        <c:axId val="111092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11094016"/>
        <c:crosses val="autoZero"/>
        <c:auto val="1"/>
        <c:lblAlgn val="ctr"/>
        <c:lblOffset val="100"/>
        <c:noMultiLvlLbl val="0"/>
      </c:catAx>
      <c:valAx>
        <c:axId val="111094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1109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P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P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1'!$C$42:$N$42</c:f>
              <c:numCache>
                <c:formatCode>#,##0</c:formatCode>
                <c:ptCount val="12"/>
                <c:pt idx="0">
                  <c:v>84221352</c:v>
                </c:pt>
                <c:pt idx="1">
                  <c:v>73494967</c:v>
                </c:pt>
                <c:pt idx="2">
                  <c:v>0</c:v>
                </c:pt>
                <c:pt idx="3">
                  <c:v>79509317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72855111</c:v>
                </c:pt>
                <c:pt idx="7" formatCode="#,##0.0">
                  <c:v>72799435</c:v>
                </c:pt>
                <c:pt idx="8" formatCode="#,##0.0">
                  <c:v>76301917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73117617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110784"/>
        <c:axId val="111133056"/>
      </c:barChart>
      <c:catAx>
        <c:axId val="111110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1133056"/>
        <c:crosses val="autoZero"/>
        <c:auto val="1"/>
        <c:lblAlgn val="ctr"/>
        <c:lblOffset val="100"/>
        <c:noMultiLvlLbl val="0"/>
      </c:catAx>
      <c:valAx>
        <c:axId val="111133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1111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P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2'!$C$39:$N$39</c:f>
              <c:numCache>
                <c:formatCode>#,##0.0</c:formatCode>
                <c:ptCount val="12"/>
                <c:pt idx="0">
                  <c:v>22221.199999999997</c:v>
                </c:pt>
                <c:pt idx="1">
                  <c:v>6325.1999999999989</c:v>
                </c:pt>
                <c:pt idx="2">
                  <c:v>0</c:v>
                </c:pt>
                <c:pt idx="3">
                  <c:v>20943</c:v>
                </c:pt>
                <c:pt idx="4">
                  <c:v>0</c:v>
                </c:pt>
                <c:pt idx="5">
                  <c:v>0</c:v>
                </c:pt>
                <c:pt idx="6">
                  <c:v>7891.7999999999993</c:v>
                </c:pt>
                <c:pt idx="7">
                  <c:v>2247</c:v>
                </c:pt>
                <c:pt idx="8">
                  <c:v>9664.6</c:v>
                </c:pt>
                <c:pt idx="9">
                  <c:v>0</c:v>
                </c:pt>
                <c:pt idx="10">
                  <c:v>0</c:v>
                </c:pt>
                <c:pt idx="11">
                  <c:v>17614.2</c:v>
                </c:pt>
              </c:numCache>
            </c:numRef>
          </c:val>
        </c:ser>
        <c:ser>
          <c:idx val="1"/>
          <c:order val="1"/>
          <c:tx>
            <c:strRef>
              <c:f>'Std P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2'!$C$40:$N$40</c:f>
              <c:numCache>
                <c:formatCode>#,##0.0</c:formatCode>
                <c:ptCount val="12"/>
                <c:pt idx="0">
                  <c:v>30057.800000000003</c:v>
                </c:pt>
                <c:pt idx="1">
                  <c:v>11706.600000000004</c:v>
                </c:pt>
                <c:pt idx="2">
                  <c:v>0</c:v>
                </c:pt>
                <c:pt idx="3">
                  <c:v>35449</c:v>
                </c:pt>
                <c:pt idx="4">
                  <c:v>0</c:v>
                </c:pt>
                <c:pt idx="5">
                  <c:v>0</c:v>
                </c:pt>
                <c:pt idx="6">
                  <c:v>16066.600000000002</c:v>
                </c:pt>
                <c:pt idx="7">
                  <c:v>2572.1999999999998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21369.599999999999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234496"/>
        <c:axId val="112236032"/>
      </c:barChart>
      <c:catAx>
        <c:axId val="112234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2236032"/>
        <c:crosses val="autoZero"/>
        <c:auto val="1"/>
        <c:lblAlgn val="ctr"/>
        <c:lblOffset val="100"/>
        <c:noMultiLvlLbl val="0"/>
      </c:catAx>
      <c:valAx>
        <c:axId val="112236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1223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M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M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1'!$C$39:$N$39</c:f>
              <c:numCache>
                <c:formatCode>#,##0.0</c:formatCode>
                <c:ptCount val="12"/>
                <c:pt idx="0">
                  <c:v>402</c:v>
                </c:pt>
                <c:pt idx="1">
                  <c:v>67.800000000000011</c:v>
                </c:pt>
                <c:pt idx="2">
                  <c:v>192.4</c:v>
                </c:pt>
                <c:pt idx="3">
                  <c:v>422.2</c:v>
                </c:pt>
                <c:pt idx="4">
                  <c:v>675.4</c:v>
                </c:pt>
                <c:pt idx="5">
                  <c:v>310.60000000000002</c:v>
                </c:pt>
                <c:pt idx="6">
                  <c:v>477.79999999999995</c:v>
                </c:pt>
                <c:pt idx="7">
                  <c:v>48.800000000000004</c:v>
                </c:pt>
                <c:pt idx="8">
                  <c:v>733.6</c:v>
                </c:pt>
                <c:pt idx="9">
                  <c:v>402.2</c:v>
                </c:pt>
                <c:pt idx="10">
                  <c:v>360.8</c:v>
                </c:pt>
                <c:pt idx="11">
                  <c:v>339.4</c:v>
                </c:pt>
              </c:numCache>
            </c:numRef>
          </c:val>
        </c:ser>
        <c:ser>
          <c:idx val="1"/>
          <c:order val="1"/>
          <c:tx>
            <c:strRef>
              <c:f>'Small M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M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1'!$C$40:$N$40</c:f>
              <c:numCache>
                <c:formatCode>#,##0.0</c:formatCode>
                <c:ptCount val="12"/>
                <c:pt idx="0">
                  <c:v>539</c:v>
                </c:pt>
                <c:pt idx="1">
                  <c:v>160.59999999999997</c:v>
                </c:pt>
                <c:pt idx="2">
                  <c:v>410.4</c:v>
                </c:pt>
                <c:pt idx="3">
                  <c:v>486.59999999999997</c:v>
                </c:pt>
                <c:pt idx="4">
                  <c:v>346.79999999999995</c:v>
                </c:pt>
                <c:pt idx="5">
                  <c:v>117.39999999999998</c:v>
                </c:pt>
                <c:pt idx="6">
                  <c:v>525.79999999999995</c:v>
                </c:pt>
                <c:pt idx="7">
                  <c:v>101.6</c:v>
                </c:pt>
                <c:pt idx="8">
                  <c:v>739.4</c:v>
                </c:pt>
                <c:pt idx="9">
                  <c:v>967</c:v>
                </c:pt>
                <c:pt idx="10">
                  <c:v>287.60000000000002</c:v>
                </c:pt>
                <c:pt idx="11">
                  <c:v>299.40000000000003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726720"/>
        <c:axId val="111691648"/>
      </c:barChart>
      <c:catAx>
        <c:axId val="109726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11691648"/>
        <c:crosses val="autoZero"/>
        <c:auto val="1"/>
        <c:lblAlgn val="ctr"/>
        <c:lblOffset val="100"/>
        <c:noMultiLvlLbl val="0"/>
      </c:catAx>
      <c:valAx>
        <c:axId val="111691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097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P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P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2'!$C$42:$N$42</c:f>
              <c:numCache>
                <c:formatCode>#,##0</c:formatCode>
                <c:ptCount val="12"/>
                <c:pt idx="0">
                  <c:v>852257852</c:v>
                </c:pt>
                <c:pt idx="1">
                  <c:v>745341367</c:v>
                </c:pt>
                <c:pt idx="2">
                  <c:v>0</c:v>
                </c:pt>
                <c:pt idx="3">
                  <c:v>805529997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738942711</c:v>
                </c:pt>
                <c:pt idx="7" formatCode="#,##0.0">
                  <c:v>738360967</c:v>
                </c:pt>
                <c:pt idx="8" formatCode="#,##0.0">
                  <c:v>773410117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741567117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252800"/>
        <c:axId val="112254336"/>
      </c:barChart>
      <c:catAx>
        <c:axId val="112252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12254336"/>
        <c:crosses val="autoZero"/>
        <c:auto val="1"/>
        <c:lblAlgn val="ctr"/>
        <c:lblOffset val="100"/>
        <c:noMultiLvlLbl val="0"/>
      </c:catAx>
      <c:valAx>
        <c:axId val="112254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1225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P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'Std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3'!$C$39:$N$39</c:f>
              <c:numCache>
                <c:formatCode>#,##0.0</c:formatCode>
                <c:ptCount val="12"/>
                <c:pt idx="0">
                  <c:v>227059.59999999998</c:v>
                </c:pt>
                <c:pt idx="1">
                  <c:v>62856.399999999994</c:v>
                </c:pt>
                <c:pt idx="2">
                  <c:v>0</c:v>
                </c:pt>
                <c:pt idx="3">
                  <c:v>211564.6</c:v>
                </c:pt>
                <c:pt idx="4">
                  <c:v>0</c:v>
                </c:pt>
                <c:pt idx="5">
                  <c:v>0</c:v>
                </c:pt>
                <c:pt idx="6">
                  <c:v>76735.8</c:v>
                </c:pt>
                <c:pt idx="7">
                  <c:v>20908</c:v>
                </c:pt>
                <c:pt idx="8">
                  <c:v>93016</c:v>
                </c:pt>
                <c:pt idx="9">
                  <c:v>0</c:v>
                </c:pt>
                <c:pt idx="10">
                  <c:v>0</c:v>
                </c:pt>
                <c:pt idx="11">
                  <c:v>175657.4</c:v>
                </c:pt>
              </c:numCache>
            </c:numRef>
          </c:val>
        </c:ser>
        <c:ser>
          <c:idx val="1"/>
          <c:order val="1"/>
          <c:tx>
            <c:strRef>
              <c:f>'Std P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'Std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3'!$C$40:$N$40</c:f>
              <c:numCache>
                <c:formatCode>#,##0.0</c:formatCode>
                <c:ptCount val="12"/>
                <c:pt idx="0">
                  <c:v>328551.20000000007</c:v>
                </c:pt>
                <c:pt idx="1">
                  <c:v>115733.4</c:v>
                </c:pt>
                <c:pt idx="2">
                  <c:v>0</c:v>
                </c:pt>
                <c:pt idx="3">
                  <c:v>449644.4</c:v>
                </c:pt>
                <c:pt idx="4">
                  <c:v>0</c:v>
                </c:pt>
                <c:pt idx="5">
                  <c:v>0</c:v>
                </c:pt>
                <c:pt idx="6">
                  <c:v>159106</c:v>
                </c:pt>
                <c:pt idx="7">
                  <c:v>26615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216009.19999999998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65632"/>
        <c:axId val="112567424"/>
      </c:barChart>
      <c:catAx>
        <c:axId val="112565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2567424"/>
        <c:crosses val="autoZero"/>
        <c:auto val="1"/>
        <c:lblAlgn val="ctr"/>
        <c:lblOffset val="100"/>
        <c:noMultiLvlLbl val="0"/>
      </c:catAx>
      <c:valAx>
        <c:axId val="112567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1256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'Std P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'Std P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'Std P 3'!$C$42:$N$42</c:f>
              <c:numCache>
                <c:formatCode>#,##0</c:formatCode>
                <c:ptCount val="12"/>
                <c:pt idx="0">
                  <c:v>8630035452</c:v>
                </c:pt>
                <c:pt idx="1">
                  <c:v>7557405367</c:v>
                </c:pt>
                <c:pt idx="2">
                  <c:v>0</c:v>
                </c:pt>
                <c:pt idx="3">
                  <c:v>8204327997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7493418711</c:v>
                </c:pt>
                <c:pt idx="7" formatCode="#,##0.0">
                  <c:v>7487592567</c:v>
                </c:pt>
                <c:pt idx="8" formatCode="#,##0.0">
                  <c:v>7838092117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7519662117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76000"/>
        <c:axId val="112577536"/>
      </c:barChart>
      <c:catAx>
        <c:axId val="112576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12577536"/>
        <c:crosses val="autoZero"/>
        <c:auto val="1"/>
        <c:lblAlgn val="ctr"/>
        <c:lblOffset val="100"/>
        <c:noMultiLvlLbl val="0"/>
      </c:catAx>
      <c:valAx>
        <c:axId val="112577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1257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'Large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'Large 1'!$C$37:$N$37</c:f>
              <c:strCache>
                <c:ptCount val="12"/>
                <c:pt idx="0">
                  <c:v>Newtonsoft (DSL model)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1'!$C$39:$N$39</c:f>
              <c:numCache>
                <c:formatCode>#,##0.0</c:formatCode>
                <c:ptCount val="12"/>
                <c:pt idx="0">
                  <c:v>1683.8000000000002</c:v>
                </c:pt>
                <c:pt idx="1">
                  <c:v>441.20000000000005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934</c:v>
                </c:pt>
                <c:pt idx="7">
                  <c:v>318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'Large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'Large 1'!$C$37:$N$37</c:f>
              <c:strCache>
                <c:ptCount val="12"/>
                <c:pt idx="0">
                  <c:v>Newtonsoft (DSL model)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1'!$C$40:$N$40</c:f>
              <c:numCache>
                <c:formatCode>#,##0.0</c:formatCode>
                <c:ptCount val="12"/>
                <c:pt idx="0">
                  <c:v>2526.4</c:v>
                </c:pt>
                <c:pt idx="1">
                  <c:v>1091.8000000000002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1893.3999999999999</c:v>
                </c:pt>
                <c:pt idx="7">
                  <c:v>287.79999999999995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932288"/>
        <c:axId val="171934080"/>
      </c:barChart>
      <c:catAx>
        <c:axId val="171932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1934080"/>
        <c:crosses val="autoZero"/>
        <c:auto val="1"/>
        <c:lblAlgn val="ctr"/>
        <c:lblOffset val="100"/>
        <c:noMultiLvlLbl val="0"/>
      </c:catAx>
      <c:valAx>
        <c:axId val="171934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7193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'Large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'Large 1'!$C$37:$N$37</c:f>
              <c:strCache>
                <c:ptCount val="12"/>
                <c:pt idx="0">
                  <c:v>Newtonsoft (DSL model)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1'!$C$42:$N$42</c:f>
              <c:numCache>
                <c:formatCode>#,##0</c:formatCode>
                <c:ptCount val="12"/>
                <c:pt idx="0">
                  <c:v>62705819</c:v>
                </c:pt>
                <c:pt idx="1">
                  <c:v>49485608</c:v>
                </c:pt>
                <c:pt idx="2">
                  <c:v>0</c:v>
                </c:pt>
                <c:pt idx="3">
                  <c:v>0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48172180</c:v>
                </c:pt>
                <c:pt idx="7" formatCode="#,##0.0">
                  <c:v>48172180</c:v>
                </c:pt>
                <c:pt idx="8" formatCode="#,##0.0">
                  <c:v>0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959040"/>
        <c:axId val="171960576"/>
      </c:barChart>
      <c:catAx>
        <c:axId val="17195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1960576"/>
        <c:crosses val="autoZero"/>
        <c:auto val="1"/>
        <c:lblAlgn val="ctr"/>
        <c:lblOffset val="100"/>
        <c:noMultiLvlLbl val="0"/>
      </c:catAx>
      <c:valAx>
        <c:axId val="171960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195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'Large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'Large 2'!$C$37:$N$37</c:f>
              <c:strCache>
                <c:ptCount val="12"/>
                <c:pt idx="0">
                  <c:v>Newtonsoft (DSL model)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2'!$C$39:$N$39</c:f>
              <c:numCache>
                <c:formatCode>#,##0.0</c:formatCode>
                <c:ptCount val="12"/>
                <c:pt idx="0">
                  <c:v>127530.59999999999</c:v>
                </c:pt>
                <c:pt idx="1">
                  <c:v>54177.2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61435</c:v>
                </c:pt>
                <c:pt idx="7">
                  <c:v>23136.2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'Large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'Large 2'!$C$37:$N$37</c:f>
              <c:strCache>
                <c:ptCount val="12"/>
                <c:pt idx="0">
                  <c:v>Newtonsoft (DSL model)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2'!$C$40:$N$40</c:f>
              <c:numCache>
                <c:formatCode>#,##0.0</c:formatCode>
                <c:ptCount val="12"/>
                <c:pt idx="0">
                  <c:v>236586.40000000002</c:v>
                </c:pt>
                <c:pt idx="1">
                  <c:v>140717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113345.99999999999</c:v>
                </c:pt>
                <c:pt idx="7">
                  <c:v>24368.799999999996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926272"/>
        <c:axId val="173927808"/>
      </c:barChart>
      <c:catAx>
        <c:axId val="173926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3927808"/>
        <c:crosses val="autoZero"/>
        <c:auto val="1"/>
        <c:lblAlgn val="ctr"/>
        <c:lblOffset val="100"/>
        <c:noMultiLvlLbl val="0"/>
      </c:catAx>
      <c:valAx>
        <c:axId val="173927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7392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'Large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'Large 2'!$C$37:$N$37</c:f>
              <c:strCache>
                <c:ptCount val="12"/>
                <c:pt idx="0">
                  <c:v>Newtonsoft (DSL model)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'Large 2'!$C$42:$N$42</c:f>
              <c:numCache>
                <c:formatCode>#,##0</c:formatCode>
                <c:ptCount val="12"/>
                <c:pt idx="0">
                  <c:v>9797315916</c:v>
                </c:pt>
                <c:pt idx="1">
                  <c:v>9490545095</c:v>
                </c:pt>
                <c:pt idx="2">
                  <c:v>0</c:v>
                </c:pt>
                <c:pt idx="3">
                  <c:v>0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9388310815</c:v>
                </c:pt>
                <c:pt idx="7" formatCode="#,##0.0">
                  <c:v>9388310815</c:v>
                </c:pt>
                <c:pt idx="8" formatCode="#,##0.0">
                  <c:v>0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953024"/>
        <c:axId val="173954560"/>
      </c:barChart>
      <c:catAx>
        <c:axId val="173953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3954560"/>
        <c:crosses val="autoZero"/>
        <c:auto val="1"/>
        <c:lblAlgn val="ctr"/>
        <c:lblOffset val="100"/>
        <c:noMultiLvlLbl val="0"/>
      </c:catAx>
      <c:valAx>
        <c:axId val="173954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395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M 1'!$B$42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M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1'!$C$42:$N$42</c:f>
              <c:numCache>
                <c:formatCode>#,##0</c:formatCode>
                <c:ptCount val="12"/>
                <c:pt idx="0">
                  <c:v>4777780</c:v>
                </c:pt>
                <c:pt idx="1">
                  <c:v>4777768</c:v>
                </c:pt>
                <c:pt idx="2">
                  <c:v>4777780</c:v>
                </c:pt>
                <c:pt idx="3">
                  <c:v>4777780</c:v>
                </c:pt>
                <c:pt idx="4" formatCode="#,##0.0">
                  <c:v>4777780</c:v>
                </c:pt>
                <c:pt idx="5" formatCode="#,##0.0">
                  <c:v>4777768</c:v>
                </c:pt>
                <c:pt idx="6" formatCode="#,##0.0">
                  <c:v>4777768</c:v>
                </c:pt>
                <c:pt idx="7" formatCode="#,##0.0">
                  <c:v>4777768</c:v>
                </c:pt>
                <c:pt idx="8" formatCode="#,##0.0">
                  <c:v>4777780</c:v>
                </c:pt>
                <c:pt idx="9" formatCode="#,##0.0">
                  <c:v>4777768</c:v>
                </c:pt>
                <c:pt idx="10" formatCode="#,##0.0">
                  <c:v>4777780</c:v>
                </c:pt>
                <c:pt idx="11" formatCode="#,##0.0">
                  <c:v>4777780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94432"/>
        <c:axId val="111799296"/>
      </c:barChart>
      <c:catAx>
        <c:axId val="1117944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1799296"/>
        <c:crosses val="autoZero"/>
        <c:auto val="1"/>
        <c:lblAlgn val="ctr"/>
        <c:lblOffset val="100"/>
        <c:noMultiLvlLbl val="0"/>
      </c:catAx>
      <c:valAx>
        <c:axId val="111799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1179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M 2'!$B$39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M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2'!$C$39:$N$39</c:f>
              <c:numCache>
                <c:formatCode>#,##0.0</c:formatCode>
                <c:ptCount val="12"/>
                <c:pt idx="0">
                  <c:v>1970.4</c:v>
                </c:pt>
                <c:pt idx="1">
                  <c:v>609.20000000000005</c:v>
                </c:pt>
                <c:pt idx="2">
                  <c:v>1628.2</c:v>
                </c:pt>
                <c:pt idx="3">
                  <c:v>2972.6000000000004</c:v>
                </c:pt>
                <c:pt idx="4">
                  <c:v>1895.8000000000002</c:v>
                </c:pt>
                <c:pt idx="5">
                  <c:v>1010.4</c:v>
                </c:pt>
                <c:pt idx="6">
                  <c:v>889</c:v>
                </c:pt>
                <c:pt idx="7">
                  <c:v>149.19999999999999</c:v>
                </c:pt>
                <c:pt idx="8">
                  <c:v>3943.4</c:v>
                </c:pt>
                <c:pt idx="9">
                  <c:v>1037</c:v>
                </c:pt>
                <c:pt idx="10">
                  <c:v>730</c:v>
                </c:pt>
                <c:pt idx="11">
                  <c:v>1329.8</c:v>
                </c:pt>
              </c:numCache>
            </c:numRef>
          </c:val>
        </c:ser>
        <c:ser>
          <c:idx val="1"/>
          <c:order val="1"/>
          <c:tx>
            <c:strRef>
              <c:f>'Small M 2'!$B$40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M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2'!$C$40:$N$40</c:f>
              <c:numCache>
                <c:formatCode>#,##0.0</c:formatCode>
                <c:ptCount val="12"/>
                <c:pt idx="0">
                  <c:v>4373.1999999999989</c:v>
                </c:pt>
                <c:pt idx="1">
                  <c:v>1327</c:v>
                </c:pt>
                <c:pt idx="2">
                  <c:v>3695.6000000000004</c:v>
                </c:pt>
                <c:pt idx="3">
                  <c:v>3843</c:v>
                </c:pt>
                <c:pt idx="4">
                  <c:v>1631</c:v>
                </c:pt>
                <c:pt idx="5">
                  <c:v>1236.7999999999997</c:v>
                </c:pt>
                <c:pt idx="6">
                  <c:v>1199.4000000000001</c:v>
                </c:pt>
                <c:pt idx="7">
                  <c:v>280.2</c:v>
                </c:pt>
                <c:pt idx="8">
                  <c:v>4076</c:v>
                </c:pt>
                <c:pt idx="9">
                  <c:v>6207.2000000000007</c:v>
                </c:pt>
                <c:pt idx="10">
                  <c:v>1163.5999999999999</c:v>
                </c:pt>
                <c:pt idx="11">
                  <c:v>1876.8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978752"/>
        <c:axId val="111986560"/>
      </c:barChart>
      <c:catAx>
        <c:axId val="111978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1986560"/>
        <c:crosses val="autoZero"/>
        <c:auto val="1"/>
        <c:lblAlgn val="ctr"/>
        <c:lblOffset val="100"/>
        <c:noMultiLvlLbl val="0"/>
      </c:catAx>
      <c:valAx>
        <c:axId val="111986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1197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M 2'!$B$42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M 2'!$C$37:$N$37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2'!$C$42:$N$42</c:f>
              <c:numCache>
                <c:formatCode>#,##0</c:formatCode>
                <c:ptCount val="12"/>
                <c:pt idx="0">
                  <c:v>49777780</c:v>
                </c:pt>
                <c:pt idx="1">
                  <c:v>49777768</c:v>
                </c:pt>
                <c:pt idx="2">
                  <c:v>49777780</c:v>
                </c:pt>
                <c:pt idx="3">
                  <c:v>49777780</c:v>
                </c:pt>
                <c:pt idx="4" formatCode="#,##0.0">
                  <c:v>49777780</c:v>
                </c:pt>
                <c:pt idx="5" formatCode="#,##0.0">
                  <c:v>49777768</c:v>
                </c:pt>
                <c:pt idx="6" formatCode="#,##0.0">
                  <c:v>49777768</c:v>
                </c:pt>
                <c:pt idx="7" formatCode="#,##0.0">
                  <c:v>49777768</c:v>
                </c:pt>
                <c:pt idx="8" formatCode="#,##0.0">
                  <c:v>49777780</c:v>
                </c:pt>
                <c:pt idx="9" formatCode="#,##0.0">
                  <c:v>49777768</c:v>
                </c:pt>
                <c:pt idx="10" formatCode="#,##0.0">
                  <c:v>49777780</c:v>
                </c:pt>
                <c:pt idx="11" formatCode="#,##0.0">
                  <c:v>49777780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634880"/>
        <c:axId val="172636800"/>
      </c:barChart>
      <c:catAx>
        <c:axId val="1726348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2636800"/>
        <c:crosses val="autoZero"/>
        <c:auto val="1"/>
        <c:lblAlgn val="ctr"/>
        <c:lblOffset val="100"/>
        <c:noMultiLvlLbl val="0"/>
      </c:catAx>
      <c:valAx>
        <c:axId val="172636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263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M 3'!$B$39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M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3'!$C$39:$N$39</c:f>
              <c:numCache>
                <c:formatCode>#,##0.0</c:formatCode>
                <c:ptCount val="12"/>
                <c:pt idx="0">
                  <c:v>17388.199999999997</c:v>
                </c:pt>
                <c:pt idx="1">
                  <c:v>5980.8</c:v>
                </c:pt>
                <c:pt idx="2">
                  <c:v>15361.199999999999</c:v>
                </c:pt>
                <c:pt idx="3">
                  <c:v>28300.400000000001</c:v>
                </c:pt>
                <c:pt idx="4">
                  <c:v>14168</c:v>
                </c:pt>
                <c:pt idx="5">
                  <c:v>8118.6</c:v>
                </c:pt>
                <c:pt idx="6">
                  <c:v>5055</c:v>
                </c:pt>
                <c:pt idx="7">
                  <c:v>1176.8</c:v>
                </c:pt>
                <c:pt idx="8">
                  <c:v>32560.400000000001</c:v>
                </c:pt>
                <c:pt idx="9">
                  <c:v>7373.8</c:v>
                </c:pt>
                <c:pt idx="10">
                  <c:v>4322</c:v>
                </c:pt>
                <c:pt idx="11">
                  <c:v>10082.4</c:v>
                </c:pt>
              </c:numCache>
            </c:numRef>
          </c:val>
        </c:ser>
        <c:ser>
          <c:idx val="1"/>
          <c:order val="1"/>
          <c:tx>
            <c:strRef>
              <c:f>'Small M 3'!$B$40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M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3'!$C$40:$N$40</c:f>
              <c:numCache>
                <c:formatCode>#,##0.0</c:formatCode>
                <c:ptCount val="12"/>
                <c:pt idx="0">
                  <c:v>43278.400000000001</c:v>
                </c:pt>
                <c:pt idx="1">
                  <c:v>12879</c:v>
                </c:pt>
                <c:pt idx="2">
                  <c:v>36758.6</c:v>
                </c:pt>
                <c:pt idx="3">
                  <c:v>37764.399999999994</c:v>
                </c:pt>
                <c:pt idx="4">
                  <c:v>14586.2</c:v>
                </c:pt>
                <c:pt idx="5">
                  <c:v>11823.599999999997</c:v>
                </c:pt>
                <c:pt idx="6">
                  <c:v>7526.4000000000005</c:v>
                </c:pt>
                <c:pt idx="7">
                  <c:v>2234</c:v>
                </c:pt>
                <c:pt idx="8">
                  <c:v>39020.199999999997</c:v>
                </c:pt>
                <c:pt idx="9">
                  <c:v>59073</c:v>
                </c:pt>
                <c:pt idx="10">
                  <c:v>9315.2000000000007</c:v>
                </c:pt>
                <c:pt idx="11">
                  <c:v>15711.800000000001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078016"/>
        <c:axId val="173079552"/>
      </c:barChart>
      <c:catAx>
        <c:axId val="1730780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3079552"/>
        <c:crosses val="autoZero"/>
        <c:auto val="1"/>
        <c:lblAlgn val="ctr"/>
        <c:lblOffset val="100"/>
        <c:noMultiLvlLbl val="0"/>
      </c:catAx>
      <c:valAx>
        <c:axId val="173079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307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'Small M 3'!$B$42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'Small M 3'!$C$37:$N$37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M 3'!$C$42:$N$42</c:f>
              <c:numCache>
                <c:formatCode>#,##0</c:formatCode>
                <c:ptCount val="12"/>
                <c:pt idx="0">
                  <c:v>517777780</c:v>
                </c:pt>
                <c:pt idx="1">
                  <c:v>517777768</c:v>
                </c:pt>
                <c:pt idx="2">
                  <c:v>517777780</c:v>
                </c:pt>
                <c:pt idx="3">
                  <c:v>517777780</c:v>
                </c:pt>
                <c:pt idx="4" formatCode="#,##0.0">
                  <c:v>517777780</c:v>
                </c:pt>
                <c:pt idx="5" formatCode="#,##0.0">
                  <c:v>517777768</c:v>
                </c:pt>
                <c:pt idx="6" formatCode="#,##0.0">
                  <c:v>517777768</c:v>
                </c:pt>
                <c:pt idx="7" formatCode="#,##0.0">
                  <c:v>517777768</c:v>
                </c:pt>
                <c:pt idx="8" formatCode="#,##0.0">
                  <c:v>517777780</c:v>
                </c:pt>
                <c:pt idx="9" formatCode="#,##0.0">
                  <c:v>517777768</c:v>
                </c:pt>
                <c:pt idx="10" formatCode="#,##0.0">
                  <c:v>517777780</c:v>
                </c:pt>
                <c:pt idx="11" formatCode="#,##0.0">
                  <c:v>517777780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010752"/>
        <c:axId val="174013056"/>
      </c:barChart>
      <c:catAx>
        <c:axId val="174010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4013056"/>
        <c:crosses val="autoZero"/>
        <c:auto val="1"/>
        <c:lblAlgn val="ctr"/>
        <c:lblOffset val="100"/>
        <c:noMultiLvlLbl val="0"/>
      </c:catAx>
      <c:valAx>
        <c:axId val="174013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7401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C 1'!$B$39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C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1'!$C$39:$N$39</c:f>
              <c:numCache>
                <c:formatCode>#,##0.0</c:formatCode>
                <c:ptCount val="12"/>
                <c:pt idx="0">
                  <c:v>331</c:v>
                </c:pt>
                <c:pt idx="1">
                  <c:v>162.80000000000001</c:v>
                </c:pt>
                <c:pt idx="2">
                  <c:v>276</c:v>
                </c:pt>
                <c:pt idx="3">
                  <c:v>515.6</c:v>
                </c:pt>
                <c:pt idx="4">
                  <c:v>252</c:v>
                </c:pt>
                <c:pt idx="5">
                  <c:v>185.4</c:v>
                </c:pt>
                <c:pt idx="6">
                  <c:v>243.99999999999997</c:v>
                </c:pt>
                <c:pt idx="7">
                  <c:v>129.20000000000002</c:v>
                </c:pt>
                <c:pt idx="8">
                  <c:v>537.20000000000005</c:v>
                </c:pt>
                <c:pt idx="9">
                  <c:v>294.39999999999998</c:v>
                </c:pt>
                <c:pt idx="10">
                  <c:v>260.79999999999995</c:v>
                </c:pt>
                <c:pt idx="11">
                  <c:v>264</c:v>
                </c:pt>
              </c:numCache>
            </c:numRef>
          </c:val>
        </c:ser>
        <c:ser>
          <c:idx val="1"/>
          <c:order val="1"/>
          <c:tx>
            <c:strRef>
              <c:f>'Small C 1'!$B$40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C 1'!$C$37:$N$37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'Small C 1'!$C$40:$N$40</c:f>
              <c:numCache>
                <c:formatCode>#,##0.0</c:formatCode>
                <c:ptCount val="12"/>
                <c:pt idx="0">
                  <c:v>652</c:v>
                </c:pt>
                <c:pt idx="1">
                  <c:v>151.80000000000001</c:v>
                </c:pt>
                <c:pt idx="2">
                  <c:v>580.6</c:v>
                </c:pt>
                <c:pt idx="3">
                  <c:v>515.4</c:v>
                </c:pt>
                <c:pt idx="4">
                  <c:v>222</c:v>
                </c:pt>
                <c:pt idx="5">
                  <c:v>166.60000000000002</c:v>
                </c:pt>
                <c:pt idx="6">
                  <c:v>289.80000000000007</c:v>
                </c:pt>
                <c:pt idx="7">
                  <c:v>72.599999999999966</c:v>
                </c:pt>
                <c:pt idx="8">
                  <c:v>531.79999999999995</c:v>
                </c:pt>
                <c:pt idx="9">
                  <c:v>741.2</c:v>
                </c:pt>
                <c:pt idx="10">
                  <c:v>325.80000000000007</c:v>
                </c:pt>
                <c:pt idx="11">
                  <c:v>291.00000000000006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576768"/>
        <c:axId val="177426816"/>
      </c:barChart>
      <c:catAx>
        <c:axId val="176576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7426816"/>
        <c:crosses val="autoZero"/>
        <c:auto val="1"/>
        <c:lblAlgn val="ctr"/>
        <c:lblOffset val="100"/>
        <c:noMultiLvlLbl val="0"/>
      </c:catAx>
      <c:valAx>
        <c:axId val="177426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657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Serialization" displayName="Serialization" ref="B59:Y64">
  <autoFilter ref="B59:Y64"/>
  <tableColumns count="24">
    <tableColumn id="2" name="Newtonsoft" totalsRowFunction="custom">
      <totalsRowFormula>AverageNumbers[](Serialization[Newtonsoft])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AverageNumbers[](Serialization[Jil])</totalsRowFormula>
    </tableColumn>
    <tableColumn id="9" name="NetJSON"/>
    <tableColumn id="8" name="Jackson"/>
    <tableColumn id="4" name="DSL Platform Java" totalsRowFunction="custom">
      <totalsRowFormula>AverageNumbers[](Serialization[DSL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AverageNumbers[](Serialization[Gson])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AverageNumbers[](Serialization[Service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Table17" displayName="Table17" ref="B51:M56">
  <autoFilter ref="B51:M56"/>
  <tableColumns count="12">
    <tableColumn id="2" name="Newtonsoft" totalsRowFunction="custom">
      <totalsRowFormula>AverageNumbers[](Table17[Newtonsoft])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AverageNumbers[](Table17[Jil])</totalsRowFormula>
    </tableColumn>
    <tableColumn id="10" name="NetJSON"/>
    <tableColumn id="15" name="Jackson"/>
    <tableColumn id="6" name="DSL Platform Java" totalsRowFunction="custom">
      <totalsRowFormula>AverageNumbers[](Table17[DSL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1" name="Table21" displayName="Table21" ref="B59:Y64">
  <autoFilter ref="B59:Y64"/>
  <tableColumns count="24">
    <tableColumn id="2" name="Newtonsoft" totalsRowFunction="custom">
      <totalsRowFormula>AverageNumbers[](Table21[Newtonsoft])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AverageNumbers[](Table21[Jil])</totalsRowFormula>
    </tableColumn>
    <tableColumn id="9" name="NetJSON"/>
    <tableColumn id="8" name="Jackson"/>
    <tableColumn id="4" name="DSL Platform Java" totalsRowFunction="custom">
      <totalsRowFormula>AverageNumbers[](Table21[DSL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AverageNumbers[](Table21[Gson])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AverageNumbers[](Table21[Service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5" name="Table25" displayName="Table25" ref="B37:N42" totalsRowShown="0">
  <autoFilter ref="B37:N42"/>
  <tableColumns count="13">
    <tableColumn id="1" name="Average"/>
    <tableColumn id="2" name="Newtonsoft" dataDxfId="383">
      <calculatedColumnFormula>AverageNumbers[](Table21[Newtonsoft])</calculatedColumnFormula>
    </tableColumn>
    <tableColumn id="3" name="Revenj" dataDxfId="382"/>
    <tableColumn id="11" name="fastJSON" dataDxfId="381"/>
    <tableColumn id="4" name="Service Stack" dataDxfId="380"/>
    <tableColumn id="8" name="Jil" dataDxfId="379"/>
    <tableColumn id="7" name="NetJSON" dataDxfId="378"/>
    <tableColumn id="5" name="Jackson afterburner" dataDxfId="377"/>
    <tableColumn id="6" name="DSL Platform Java" dataDxfId="376"/>
    <tableColumn id="9" name="Genson" dataDxfId="375"/>
    <tableColumn id="13" name="Boon" dataDxfId="374"/>
    <tableColumn id="12" name="Alibaba" dataDxfId="373"/>
    <tableColumn id="10" name="Gson" dataDxfId="37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4" name="Table24" displayName="Table24" ref="B46:N48" totalsRowShown="0">
  <autoFilter ref="B46:N48"/>
  <tableColumns count="13">
    <tableColumn id="1" name="Deviation"/>
    <tableColumn id="2" name="Newtonsoft" dataDxfId="371">
      <calculatedColumnFormula>AverageNumbers[](Table21[Newtonsoft])</calculatedColumnFormula>
    </tableColumn>
    <tableColumn id="3" name="Revenj" dataDxfId="370"/>
    <tableColumn id="11" name="fastJSON" dataDxfId="369"/>
    <tableColumn id="4" name="Service Stack" dataDxfId="368"/>
    <tableColumn id="5" name="Jil" dataDxfId="367">
      <calculatedColumnFormula>DEVSQ(Table21[Jil])</calculatedColumnFormula>
    </tableColumn>
    <tableColumn id="6" name="NetJSON" dataDxfId="366">
      <calculatedColumnFormula>DEVSQ(Table23[NetJSON])</calculatedColumnFormula>
    </tableColumn>
    <tableColumn id="7" name="Jackson afterburner" dataDxfId="365"/>
    <tableColumn id="8" name="DSL Platform Java" dataDxfId="364"/>
    <tableColumn id="9" name="Genson" dataDxfId="363"/>
    <tableColumn id="13" name="Boon" dataDxfId="362"/>
    <tableColumn id="12" name="Alibaba" dataDxfId="361"/>
    <tableColumn id="10" name="Gson" dataDxfId="36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3" name="Table23" displayName="Table23" ref="B67:M72">
  <autoFilter ref="B67:M72"/>
  <tableColumns count="12">
    <tableColumn id="2" name="Newtonsoft" totalsRowFunction="custom">
      <totalsRowFormula>AverageNumbers[](Table23[Newtonsoft])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AverageNumbers[](Table23[Jil])</totalsRowFormula>
    </tableColumn>
    <tableColumn id="10" name="NetJSON"/>
    <tableColumn id="15" name="Jackson"/>
    <tableColumn id="6" name="DSL Platform Java" totalsRowFunction="custom">
      <totalsRowFormula>AverageNumbers[](Table23[DSL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2" name="Table22" displayName="Table22" ref="B51:M56">
  <autoFilter ref="B51:M56"/>
  <tableColumns count="12">
    <tableColumn id="2" name="Newtonsoft" totalsRowFunction="custom">
      <totalsRowFormula>AverageNumbers[](Table22[Newtonsoft])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AverageNumbers[](Table22[Jil])</totalsRowFormula>
    </tableColumn>
    <tableColumn id="10" name="NetJSON"/>
    <tableColumn id="15" name="Jackson"/>
    <tableColumn id="6" name="DSL Platform Java" totalsRowFunction="custom">
      <totalsRowFormula>AverageNumbers[](Table22[DSL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6" name="Table26" displayName="Table26" ref="B59:Y64">
  <autoFilter ref="B59:Y64"/>
  <tableColumns count="24">
    <tableColumn id="2" name="Newtonsoft" totalsRowFunction="custom">
      <totalsRowFormula>AverageNumbers[](Table26[Newtonsoft])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AverageNumbers[](Table26[Jil])</totalsRowFormula>
    </tableColumn>
    <tableColumn id="9" name="NetJSON"/>
    <tableColumn id="8" name="Jackson"/>
    <tableColumn id="4" name="DSL Platform Java" totalsRowFunction="custom">
      <totalsRowFormula>AverageNumbers[](Table26[DSL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AverageNumbers[](Table26[Gson])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AverageNumbers[](Table26[Service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30" name="Table30" displayName="Table30" ref="B37:N42" totalsRowShown="0">
  <autoFilter ref="B37:N42"/>
  <tableColumns count="13">
    <tableColumn id="1" name="Average"/>
    <tableColumn id="2" name="Newtonsoft" dataDxfId="359">
      <calculatedColumnFormula>AverageNumbers[](Table26[Newtonsoft])</calculatedColumnFormula>
    </tableColumn>
    <tableColumn id="3" name="Revenj" dataDxfId="358"/>
    <tableColumn id="11" name="fastJSON" dataDxfId="357"/>
    <tableColumn id="4" name="Service Stack" dataDxfId="356"/>
    <tableColumn id="8" name="Jil" dataDxfId="355"/>
    <tableColumn id="7" name="NetJSON" dataDxfId="354"/>
    <tableColumn id="5" name="Jackson afterburner" dataDxfId="353"/>
    <tableColumn id="6" name="DSL Platform Java" dataDxfId="352"/>
    <tableColumn id="9" name="Genson" dataDxfId="351"/>
    <tableColumn id="13" name="Boon" dataDxfId="350"/>
    <tableColumn id="12" name="Alibaba" dataDxfId="349"/>
    <tableColumn id="10" name="Gson" dataDxfId="34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9" name="Table29" displayName="Table29" ref="B46:N48" totalsRowShown="0">
  <autoFilter ref="B46:N48"/>
  <tableColumns count="13">
    <tableColumn id="1" name="Deviation"/>
    <tableColumn id="2" name="Newtonsoft" dataDxfId="347">
      <calculatedColumnFormula>AverageNumbers[](Table26[Newtonsoft])</calculatedColumnFormula>
    </tableColumn>
    <tableColumn id="3" name="Revenj" dataDxfId="346"/>
    <tableColumn id="11" name="fastJSON" dataDxfId="345"/>
    <tableColumn id="4" name="Service Stack" dataDxfId="344"/>
    <tableColumn id="5" name="Jil" dataDxfId="343">
      <calculatedColumnFormula>DEVSQ(Table26[Jil])</calculatedColumnFormula>
    </tableColumn>
    <tableColumn id="6" name="NetJSON" dataDxfId="342">
      <calculatedColumnFormula>DEVSQ(Table28[NetJSON])</calculatedColumnFormula>
    </tableColumn>
    <tableColumn id="7" name="Jackson afterburner" dataDxfId="341"/>
    <tableColumn id="8" name="DSL Platform Java" dataDxfId="340"/>
    <tableColumn id="9" name="Genson" dataDxfId="339"/>
    <tableColumn id="13" name="Boon" dataDxfId="338"/>
    <tableColumn id="12" name="Alibaba" dataDxfId="337"/>
    <tableColumn id="10" name="Gson" dataDxfId="33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8" name="Table28" displayName="Table28" ref="B67:M72">
  <autoFilter ref="B67:M72"/>
  <tableColumns count="12">
    <tableColumn id="2" name="Newtonsoft" totalsRowFunction="custom">
      <totalsRowFormula>AverageNumbers[](Table28[Newtonsoft])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AverageNumbers[](Table28[Jil])</totalsRowFormula>
    </tableColumn>
    <tableColumn id="10" name="NetJSON"/>
    <tableColumn id="15" name="Jackson"/>
    <tableColumn id="6" name="DSL Platform Java" totalsRowFunction="custom">
      <totalsRowFormula>AverageNumbers[](Table28[DSL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AverageNumbers" displayName="AverageNumbers" ref="B37:N42" totalsRowShown="0">
  <autoFilter ref="B37:N42"/>
  <tableColumns count="13">
    <tableColumn id="1" name="Average"/>
    <tableColumn id="2" name="Newtonsoft" dataDxfId="431">
      <calculatedColumnFormula>AverageNumbers[](Serialization[Newtonsoft])</calculatedColumnFormula>
    </tableColumn>
    <tableColumn id="3" name="Revenj" dataDxfId="430"/>
    <tableColumn id="11" name="fastJSON" dataDxfId="429"/>
    <tableColumn id="4" name="Service Stack" dataDxfId="428"/>
    <tableColumn id="8" name="Jil" dataDxfId="427"/>
    <tableColumn id="7" name="NetJSON" dataDxfId="426"/>
    <tableColumn id="5" name="Jackson afterburner" dataDxfId="425"/>
    <tableColumn id="6" name="DSL Platform Java" dataDxfId="424"/>
    <tableColumn id="9" name="Genson" dataDxfId="423"/>
    <tableColumn id="13" name="Boon" dataDxfId="422"/>
    <tableColumn id="12" name="Alibaba" dataDxfId="421"/>
    <tableColumn id="10" name="Gson" dataDxfId="42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7" name="Table27" displayName="Table27" ref="B51:M56">
  <autoFilter ref="B51:M56"/>
  <tableColumns count="12">
    <tableColumn id="2" name="Newtonsoft" totalsRowFunction="custom">
      <totalsRowFormula>AverageNumbers[](Table27[Newtonsoft])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AverageNumbers[](Table27[Jil])</totalsRowFormula>
    </tableColumn>
    <tableColumn id="10" name="NetJSON"/>
    <tableColumn id="15" name="Jackson"/>
    <tableColumn id="6" name="DSL Platform Java" totalsRowFunction="custom">
      <totalsRowFormula>AverageNumbers[](Table27[DSL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31" name="Table31" displayName="Table31" ref="B59:Y64">
  <autoFilter ref="B59:Y64"/>
  <tableColumns count="24">
    <tableColumn id="2" name="Newtonsoft" totalsRowFunction="custom">
      <totalsRowFormula>AverageNumbers[](Table31[Newtonsoft])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AverageNumbers[](Table31[Jil])</totalsRowFormula>
    </tableColumn>
    <tableColumn id="9" name="NetJSON"/>
    <tableColumn id="8" name="Jackson"/>
    <tableColumn id="4" name="DSL Platform Java" totalsRowFunction="custom">
      <totalsRowFormula>AverageNumbers[](Table31[DSL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AverageNumbers[](Table31[Gson])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AverageNumbers[](Table31[Service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35" name="Table35" displayName="Table35" ref="B37:N42" totalsRowShown="0">
  <autoFilter ref="B37:N42"/>
  <tableColumns count="13">
    <tableColumn id="1" name="Average"/>
    <tableColumn id="2" name="Newtonsoft" dataDxfId="335">
      <calculatedColumnFormula>AverageNumbers[](Table31[Newtonsoft])</calculatedColumnFormula>
    </tableColumn>
    <tableColumn id="3" name="Revenj" dataDxfId="334"/>
    <tableColumn id="11" name="fastJSON" dataDxfId="333"/>
    <tableColumn id="4" name="Service Stack" dataDxfId="332"/>
    <tableColumn id="8" name="Jil" dataDxfId="331"/>
    <tableColumn id="7" name="NetJSON" dataDxfId="330"/>
    <tableColumn id="5" name="Jackson afterburner" dataDxfId="329"/>
    <tableColumn id="6" name="DSL Platform Java" dataDxfId="328"/>
    <tableColumn id="9" name="Genson" dataDxfId="327"/>
    <tableColumn id="13" name="Boon" dataDxfId="326"/>
    <tableColumn id="12" name="Alibaba" dataDxfId="325"/>
    <tableColumn id="10" name="Gson" dataDxfId="32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34" name="Table34" displayName="Table34" ref="B46:N48" totalsRowShown="0">
  <autoFilter ref="B46:N48"/>
  <tableColumns count="13">
    <tableColumn id="1" name="Deviation"/>
    <tableColumn id="2" name="Newtonsoft" dataDxfId="323">
      <calculatedColumnFormula>AverageNumbers[](Table31[Newtonsoft])</calculatedColumnFormula>
    </tableColumn>
    <tableColumn id="3" name="Revenj" dataDxfId="322"/>
    <tableColumn id="11" name="fastJSON" dataDxfId="321"/>
    <tableColumn id="4" name="Service Stack" dataDxfId="320"/>
    <tableColumn id="5" name="Jil" dataDxfId="319">
      <calculatedColumnFormula>DEVSQ(Table31[Jil])</calculatedColumnFormula>
    </tableColumn>
    <tableColumn id="6" name="NetJSON" dataDxfId="318">
      <calculatedColumnFormula>DEVSQ(Table33[NetJSON])</calculatedColumnFormula>
    </tableColumn>
    <tableColumn id="7" name="Jackson afterburner" dataDxfId="317"/>
    <tableColumn id="8" name="DSL Platform Java" dataDxfId="316"/>
    <tableColumn id="9" name="Genson" dataDxfId="315"/>
    <tableColumn id="13" name="Boon" dataDxfId="314"/>
    <tableColumn id="12" name="Alibaba" dataDxfId="313"/>
    <tableColumn id="10" name="Gson" dataDxfId="3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33" name="Table33" displayName="Table33" ref="B67:M72">
  <autoFilter ref="B67:M72"/>
  <tableColumns count="12">
    <tableColumn id="2" name="Newtonsoft" totalsRowFunction="custom">
      <totalsRowFormula>AverageNumbers[](Table33[Newtonsoft])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AverageNumbers[](Table33[Jil])</totalsRowFormula>
    </tableColumn>
    <tableColumn id="10" name="NetJSON"/>
    <tableColumn id="15" name="Jackson"/>
    <tableColumn id="6" name="DSL Platform Java" totalsRowFunction="custom">
      <totalsRowFormula>AverageNumbers[](Table33[DSL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2" name="Table32" displayName="Table32" ref="B51:M56">
  <autoFilter ref="B51:M56"/>
  <tableColumns count="12">
    <tableColumn id="2" name="Newtonsoft" totalsRowFunction="custom">
      <totalsRowFormula>AverageNumbers[](Table32[Newtonsoft])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AverageNumbers[](Table32[Jil])</totalsRowFormula>
    </tableColumn>
    <tableColumn id="10" name="NetJSON"/>
    <tableColumn id="15" name="Jackson"/>
    <tableColumn id="6" name="DSL Platform Java" totalsRowFunction="custom">
      <totalsRowFormula>AverageNumbers[](Table32[DSL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6" name="Table36" displayName="Table36" ref="B59:Y64">
  <autoFilter ref="B59:Y64"/>
  <tableColumns count="24">
    <tableColumn id="2" name="Newtonsoft" totalsRowFunction="custom">
      <totalsRowFormula>AverageNumbers[](Table36[Newtonsoft])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AverageNumbers[](Table36[Jil])</totalsRowFormula>
    </tableColumn>
    <tableColumn id="9" name="NetJSON"/>
    <tableColumn id="8" name="Jackson"/>
    <tableColumn id="4" name="DSL Platform Java" totalsRowFunction="custom">
      <totalsRowFormula>AverageNumbers[](Table36[DSL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AverageNumbers[](Table36[Gson])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AverageNumbers[](Table36[Service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40" name="Table40" displayName="Table40" ref="B37:N42" totalsRowShown="0">
  <autoFilter ref="B37:N42"/>
  <tableColumns count="13">
    <tableColumn id="1" name="Average"/>
    <tableColumn id="2" name="Newtonsoft" dataDxfId="311">
      <calculatedColumnFormula>AverageNumbers[](Table36[Newtonsoft])</calculatedColumnFormula>
    </tableColumn>
    <tableColumn id="3" name="Revenj" dataDxfId="310"/>
    <tableColumn id="11" name="fastJSON" dataDxfId="309"/>
    <tableColumn id="4" name="Service Stack" dataDxfId="308"/>
    <tableColumn id="8" name="Jil" dataDxfId="307"/>
    <tableColumn id="7" name="NetJSON" dataDxfId="306"/>
    <tableColumn id="5" name="Jackson afterburner" dataDxfId="305"/>
    <tableColumn id="6" name="DSL Platform Java" dataDxfId="304"/>
    <tableColumn id="9" name="Genson" dataDxfId="303"/>
    <tableColumn id="13" name="Boon" dataDxfId="302"/>
    <tableColumn id="12" name="Alibaba" dataDxfId="301"/>
    <tableColumn id="10" name="Gson" dataDxfId="300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9" name="Table39" displayName="Table39" ref="B46:N48" totalsRowShown="0">
  <autoFilter ref="B46:N48"/>
  <tableColumns count="13">
    <tableColumn id="1" name="Deviation"/>
    <tableColumn id="2" name="Newtonsoft" dataDxfId="299">
      <calculatedColumnFormula>AverageNumbers[](Table36[Newtonsoft])</calculatedColumnFormula>
    </tableColumn>
    <tableColumn id="3" name="Revenj" dataDxfId="298"/>
    <tableColumn id="11" name="fastJSON" dataDxfId="297"/>
    <tableColumn id="4" name="Service Stack" dataDxfId="296"/>
    <tableColumn id="5" name="Jil" dataDxfId="295">
      <calculatedColumnFormula>DEVSQ(Table36[Jil])</calculatedColumnFormula>
    </tableColumn>
    <tableColumn id="6" name="NetJSON" dataDxfId="294">
      <calculatedColumnFormula>DEVSQ(Table38[NetJSON])</calculatedColumnFormula>
    </tableColumn>
    <tableColumn id="7" name="Jackson afterburner" dataDxfId="293"/>
    <tableColumn id="8" name="DSL Platform Java" dataDxfId="292"/>
    <tableColumn id="9" name="Genson" dataDxfId="291"/>
    <tableColumn id="13" name="Boon" dataDxfId="290"/>
    <tableColumn id="12" name="Alibaba" dataDxfId="289"/>
    <tableColumn id="10" name="Gson" dataDxfId="28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8" name="Table38" displayName="Table38" ref="B67:M72">
  <autoFilter ref="B67:M72"/>
  <tableColumns count="12">
    <tableColumn id="2" name="Newtonsoft" totalsRowFunction="custom">
      <totalsRowFormula>AverageNumbers[](Table38[Newtonsoft])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AverageNumbers[](Table38[Jil])</totalsRowFormula>
    </tableColumn>
    <tableColumn id="10" name="NetJSON"/>
    <tableColumn id="15" name="Jackson"/>
    <tableColumn id="6" name="DSL Platform Java" totalsRowFunction="custom">
      <totalsRowFormula>AverageNumbers[](Table38[DSL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DeviationNumbers" displayName="DeviationNumbers" ref="B46:N48" totalsRowShown="0">
  <autoFilter ref="B46:N48"/>
  <tableColumns count="13">
    <tableColumn id="1" name="Deviation"/>
    <tableColumn id="2" name="Newtonsoft" dataDxfId="419">
      <calculatedColumnFormula>AverageNumbers[](Serialization[Newtonsoft])</calculatedColumnFormula>
    </tableColumn>
    <tableColumn id="3" name="Revenj" dataDxfId="418"/>
    <tableColumn id="11" name="fastJSON" dataDxfId="417"/>
    <tableColumn id="4" name="Service Stack" dataDxfId="416"/>
    <tableColumn id="5" name="Jil" dataDxfId="415">
      <calculatedColumnFormula>DEVSQ(Serialization[Jil])</calculatedColumnFormula>
    </tableColumn>
    <tableColumn id="6" name="NetJSON" dataDxfId="414">
      <calculatedColumnFormula>DEVSQ(Both[NetJSON])</calculatedColumnFormula>
    </tableColumn>
    <tableColumn id="7" name="Jackson afterburner" dataDxfId="413"/>
    <tableColumn id="8" name="DSL Platform Java" dataDxfId="412"/>
    <tableColumn id="9" name="Genson" dataDxfId="411"/>
    <tableColumn id="13" name="Boon" dataDxfId="410"/>
    <tableColumn id="12" name="Alibaba" dataDxfId="409"/>
    <tableColumn id="10" name="Gson" dataDxfId="408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7" name="Table37" displayName="Table37" ref="B51:M56">
  <autoFilter ref="B51:M56"/>
  <tableColumns count="12">
    <tableColumn id="2" name="Newtonsoft" totalsRowFunction="custom">
      <totalsRowFormula>AverageNumbers[](Table37[Newtonsoft])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AverageNumbers[](Table37[Jil])</totalsRowFormula>
    </tableColumn>
    <tableColumn id="10" name="NetJSON"/>
    <tableColumn id="15" name="Jackson"/>
    <tableColumn id="6" name="DSL Platform Java" totalsRowFunction="custom">
      <totalsRowFormula>AverageNumbers[](Table37[DSL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41" name="Table41" displayName="Table41" ref="B59:Y64">
  <autoFilter ref="B59:Y64"/>
  <tableColumns count="24">
    <tableColumn id="2" name="Newtonsoft" totalsRowFunction="custom">
      <totalsRowFormula>AverageNumbers[](Table41[Newtonsoft])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AverageNumbers[](Table41[Jil])</totalsRowFormula>
    </tableColumn>
    <tableColumn id="9" name="NetJSON"/>
    <tableColumn id="8" name="Jackson"/>
    <tableColumn id="4" name="DSL Platform Java" totalsRowFunction="custom">
      <totalsRowFormula>AverageNumbers[](Table41[DSL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AverageNumbers[](Table41[Gson])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AverageNumbers[](Table41[Service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45" name="Table45" displayName="Table45" ref="B37:N42" totalsRowShown="0">
  <autoFilter ref="B37:N42"/>
  <tableColumns count="13">
    <tableColumn id="1" name="Average"/>
    <tableColumn id="2" name="Newtonsoft" dataDxfId="287">
      <calculatedColumnFormula>AverageNumbers[](Table41[Newtonsoft])</calculatedColumnFormula>
    </tableColumn>
    <tableColumn id="3" name="Revenj" dataDxfId="286"/>
    <tableColumn id="11" name="fastJSON" dataDxfId="285"/>
    <tableColumn id="4" name="Service Stack" dataDxfId="284"/>
    <tableColumn id="8" name="Jil" dataDxfId="283"/>
    <tableColumn id="7" name="NetJSON" dataDxfId="282"/>
    <tableColumn id="5" name="Jackson afterburner" dataDxfId="281"/>
    <tableColumn id="6" name="DSL Platform Java" dataDxfId="280"/>
    <tableColumn id="9" name="Genson" dataDxfId="279"/>
    <tableColumn id="13" name="Boon" dataDxfId="278"/>
    <tableColumn id="12" name="Alibaba" dataDxfId="277"/>
    <tableColumn id="10" name="Gson" dataDxfId="276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44" name="Table44" displayName="Table44" ref="B46:N48" totalsRowShown="0">
  <autoFilter ref="B46:N48"/>
  <tableColumns count="13">
    <tableColumn id="1" name="Deviation"/>
    <tableColumn id="2" name="Newtonsoft" dataDxfId="275">
      <calculatedColumnFormula>AverageNumbers[](Table41[Newtonsoft])</calculatedColumnFormula>
    </tableColumn>
    <tableColumn id="3" name="Revenj" dataDxfId="274"/>
    <tableColumn id="11" name="fastJSON" dataDxfId="273"/>
    <tableColumn id="4" name="Service Stack" dataDxfId="272"/>
    <tableColumn id="5" name="Jil" dataDxfId="271">
      <calculatedColumnFormula>DEVSQ(Table41[Jil])</calculatedColumnFormula>
    </tableColumn>
    <tableColumn id="6" name="NetJSON" dataDxfId="270">
      <calculatedColumnFormula>DEVSQ(Table43[NetJSON])</calculatedColumnFormula>
    </tableColumn>
    <tableColumn id="7" name="Jackson afterburner" dataDxfId="269"/>
    <tableColumn id="8" name="DSL Platform Java" dataDxfId="268"/>
    <tableColumn id="9" name="Genson" dataDxfId="267"/>
    <tableColumn id="13" name="Boon" dataDxfId="266"/>
    <tableColumn id="12" name="Alibaba" dataDxfId="265"/>
    <tableColumn id="10" name="Gson" dataDxfId="264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43" name="Table43" displayName="Table43" ref="B67:M72">
  <autoFilter ref="B67:M72"/>
  <tableColumns count="12">
    <tableColumn id="2" name="Newtonsoft" totalsRowFunction="custom">
      <totalsRowFormula>AverageNumbers[](Table43[Newtonsoft])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AverageNumbers[](Table43[Jil])</totalsRowFormula>
    </tableColumn>
    <tableColumn id="10" name="NetJSON"/>
    <tableColumn id="15" name="Jackson"/>
    <tableColumn id="6" name="DSL Platform Java" totalsRowFunction="custom">
      <totalsRowFormula>AverageNumbers[](Table43[DSL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42" name="Table42" displayName="Table42" ref="B51:M56">
  <autoFilter ref="B51:M56"/>
  <tableColumns count="12">
    <tableColumn id="2" name="Newtonsoft" totalsRowFunction="custom">
      <totalsRowFormula>AverageNumbers[](Table42[Newtonsoft])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AverageNumbers[](Table42[Jil])</totalsRowFormula>
    </tableColumn>
    <tableColumn id="10" name="NetJSON"/>
    <tableColumn id="15" name="Jackson"/>
    <tableColumn id="6" name="DSL Platform Java" totalsRowFunction="custom">
      <totalsRowFormula>AverageNumbers[](Table42[DSL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46" name="Table46" displayName="Table46" ref="B59:Y64">
  <autoFilter ref="B59:Y64"/>
  <tableColumns count="24">
    <tableColumn id="2" name="Newtonsoft" totalsRowFunction="custom">
      <totalsRowFormula>AverageNumbers[](Table46[Newtonsoft])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AverageNumbers[](Table46[Jil])</totalsRowFormula>
    </tableColumn>
    <tableColumn id="9" name="NetJSON"/>
    <tableColumn id="8" name="Jackson"/>
    <tableColumn id="4" name="DSL Platform Java" totalsRowFunction="custom">
      <totalsRowFormula>AverageNumbers[](Table46[DSL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AverageNumbers[](Table46[Gson])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AverageNumbers[](Table46[Service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50" name="Table50" displayName="Table50" ref="B37:N42" totalsRowShown="0">
  <autoFilter ref="B37:N42"/>
  <tableColumns count="13">
    <tableColumn id="1" name="Average"/>
    <tableColumn id="2" name="Newtonsoft" dataDxfId="263">
      <calculatedColumnFormula>AverageNumbers[](Table46[Newtonsoft])</calculatedColumnFormula>
    </tableColumn>
    <tableColumn id="3" name="Revenj" dataDxfId="262"/>
    <tableColumn id="11" name="fastJSON" dataDxfId="261"/>
    <tableColumn id="4" name="Service Stack" dataDxfId="260"/>
    <tableColumn id="8" name="Jil" dataDxfId="259"/>
    <tableColumn id="7" name="NetJSON" dataDxfId="258"/>
    <tableColumn id="5" name="Jackson afterburner" dataDxfId="257"/>
    <tableColumn id="6" name="DSL Platform Java" dataDxfId="256"/>
    <tableColumn id="9" name="Genson" dataDxfId="255"/>
    <tableColumn id="13" name="Boon" dataDxfId="254"/>
    <tableColumn id="12" name="Alibaba" dataDxfId="253"/>
    <tableColumn id="10" name="Gson" dataDxfId="252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49" name="Table49" displayName="Table49" ref="B46:N48" totalsRowShown="0">
  <autoFilter ref="B46:N48"/>
  <tableColumns count="13">
    <tableColumn id="1" name="Deviation"/>
    <tableColumn id="2" name="Newtonsoft" dataDxfId="251">
      <calculatedColumnFormula>AverageNumbers[](Table46[Newtonsoft])</calculatedColumnFormula>
    </tableColumn>
    <tableColumn id="3" name="Revenj" dataDxfId="250"/>
    <tableColumn id="11" name="fastJSON" dataDxfId="249"/>
    <tableColumn id="4" name="Service Stack" dataDxfId="248"/>
    <tableColumn id="5" name="Jil" dataDxfId="247">
      <calculatedColumnFormula>DEVSQ(Table46[Jil])</calculatedColumnFormula>
    </tableColumn>
    <tableColumn id="6" name="NetJSON" dataDxfId="246">
      <calculatedColumnFormula>DEVSQ(Table48[NetJSON])</calculatedColumnFormula>
    </tableColumn>
    <tableColumn id="7" name="Jackson afterburner" dataDxfId="245"/>
    <tableColumn id="8" name="DSL Platform Java" dataDxfId="244"/>
    <tableColumn id="9" name="Genson" dataDxfId="243"/>
    <tableColumn id="13" name="Boon" dataDxfId="242"/>
    <tableColumn id="12" name="Alibaba" dataDxfId="241"/>
    <tableColumn id="10" name="Gson" dataDxfId="240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48" name="Table48" displayName="Table48" ref="B67:M72">
  <autoFilter ref="B67:M72"/>
  <tableColumns count="12">
    <tableColumn id="2" name="Newtonsoft" totalsRowFunction="custom">
      <totalsRowFormula>AverageNumbers[](Table48[Newtonsoft])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AverageNumbers[](Table48[Jil])</totalsRowFormula>
    </tableColumn>
    <tableColumn id="10" name="NetJSON"/>
    <tableColumn id="15" name="Jackson"/>
    <tableColumn id="6" name="DSL Platform Java" totalsRowFunction="custom">
      <totalsRowFormula>AverageNumbers[](Table48[DSL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Both" displayName="Both" ref="B67:M72">
  <autoFilter ref="B67:M72"/>
  <tableColumns count="12">
    <tableColumn id="2" name="Newtonsoft" totalsRowFunction="custom">
      <totalsRowFormula>AverageNumbers[](Both[Newtonsoft])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AverageNumbers[](Both[Jil])</totalsRowFormula>
    </tableColumn>
    <tableColumn id="10" name="NetJSON"/>
    <tableColumn id="15" name="Jackson"/>
    <tableColumn id="6" name="DSL Platform Java" totalsRowFunction="custom">
      <totalsRowFormula>AverageNumbers[](Both[DSL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47" name="Table47" displayName="Table47" ref="B51:M56">
  <autoFilter ref="B51:M56"/>
  <tableColumns count="12">
    <tableColumn id="2" name="Newtonsoft" totalsRowFunction="custom">
      <totalsRowFormula>AverageNumbers[](Table47[Newtonsoft])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AverageNumbers[](Table47[Jil])</totalsRowFormula>
    </tableColumn>
    <tableColumn id="10" name="NetJSON"/>
    <tableColumn id="15" name="Jackson"/>
    <tableColumn id="6" name="DSL Platform Java" totalsRowFunction="custom">
      <totalsRowFormula>AverageNumbers[](Table47[DSL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51" name="Table51" displayName="Table51" ref="B59:Y64">
  <autoFilter ref="B59:Y64"/>
  <tableColumns count="24">
    <tableColumn id="2" name="Newtonsoft" totalsRowFunction="custom">
      <totalsRowFormula>AverageNumbers[](Table51[Newtonsoft])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AverageNumbers[](Table51[Jil])</totalsRowFormula>
    </tableColumn>
    <tableColumn id="9" name="NetJSON"/>
    <tableColumn id="8" name="Jackson"/>
    <tableColumn id="4" name="DSL Platform Java" totalsRowFunction="custom">
      <totalsRowFormula>AverageNumbers[](Table51[DSL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AverageNumbers[](Table51[Gson])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AverageNumbers[](Table51[Service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55" name="Table55" displayName="Table55" ref="B37:N42" totalsRowShown="0">
  <autoFilter ref="B37:N42"/>
  <tableColumns count="13">
    <tableColumn id="1" name="Average"/>
    <tableColumn id="2" name="Newtonsoft" dataDxfId="239">
      <calculatedColumnFormula>AverageNumbers[](Table51[Newtonsoft])</calculatedColumnFormula>
    </tableColumn>
    <tableColumn id="3" name="Revenj" dataDxfId="238"/>
    <tableColumn id="11" name="fastJSON" dataDxfId="237"/>
    <tableColumn id="4" name="Service Stack" dataDxfId="236"/>
    <tableColumn id="8" name="Jil" dataDxfId="235"/>
    <tableColumn id="7" name="NetJSON" dataDxfId="234"/>
    <tableColumn id="5" name="Jackson afterburner" dataDxfId="233"/>
    <tableColumn id="6" name="DSL Platform Java" dataDxfId="232"/>
    <tableColumn id="9" name="Genson" dataDxfId="231"/>
    <tableColumn id="13" name="Boon" dataDxfId="230"/>
    <tableColumn id="12" name="Alibaba" dataDxfId="229"/>
    <tableColumn id="10" name="Gson" dataDxfId="228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54" name="Table54" displayName="Table54" ref="B46:N48" totalsRowShown="0">
  <autoFilter ref="B46:N48"/>
  <tableColumns count="13">
    <tableColumn id="1" name="Deviation"/>
    <tableColumn id="2" name="Newtonsoft" dataDxfId="227">
      <calculatedColumnFormula>AverageNumbers[](Table51[Newtonsoft])</calculatedColumnFormula>
    </tableColumn>
    <tableColumn id="3" name="Revenj" dataDxfId="226"/>
    <tableColumn id="11" name="fastJSON" dataDxfId="225"/>
    <tableColumn id="4" name="Service Stack" dataDxfId="224"/>
    <tableColumn id="5" name="Jil" dataDxfId="223">
      <calculatedColumnFormula>DEVSQ(Table51[Jil])</calculatedColumnFormula>
    </tableColumn>
    <tableColumn id="6" name="NetJSON" dataDxfId="222">
      <calculatedColumnFormula>DEVSQ(Table53[NetJSON])</calculatedColumnFormula>
    </tableColumn>
    <tableColumn id="7" name="Jackson afterburner" dataDxfId="221"/>
    <tableColumn id="8" name="DSL Platform Java" dataDxfId="220"/>
    <tableColumn id="9" name="Genson" dataDxfId="219"/>
    <tableColumn id="13" name="Boon" dataDxfId="218"/>
    <tableColumn id="12" name="Alibaba" dataDxfId="217"/>
    <tableColumn id="10" name="Gson" dataDxfId="216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53" name="Table53" displayName="Table53" ref="B67:M72">
  <autoFilter ref="B67:M72"/>
  <tableColumns count="12">
    <tableColumn id="2" name="Newtonsoft" totalsRowFunction="custom">
      <totalsRowFormula>AverageNumbers[](Table53[Newtonsoft])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AverageNumbers[](Table53[Jil])</totalsRowFormula>
    </tableColumn>
    <tableColumn id="10" name="NetJSON"/>
    <tableColumn id="15" name="Jackson"/>
    <tableColumn id="6" name="DSL Platform Java" totalsRowFunction="custom">
      <totalsRowFormula>AverageNumbers[](Table53[DSL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52" name="Table52" displayName="Table52" ref="B51:M56">
  <autoFilter ref="B51:M56"/>
  <tableColumns count="12">
    <tableColumn id="2" name="Newtonsoft" totalsRowFunction="custom">
      <totalsRowFormula>AverageNumbers[](Table52[Newtonsoft])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AverageNumbers[](Table52[Jil])</totalsRowFormula>
    </tableColumn>
    <tableColumn id="10" name="NetJSON"/>
    <tableColumn id="15" name="Jackson"/>
    <tableColumn id="6" name="DSL Platform Java" totalsRowFunction="custom">
      <totalsRowFormula>AverageNumbers[](Table52[DSL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56" name="Table56" displayName="Table56" ref="B59:Y64">
  <autoFilter ref="B59:Y64"/>
  <tableColumns count="24">
    <tableColumn id="2" name="Newtonsoft" totalsRowFunction="custom">
      <totalsRowFormula>AverageNumbers[](Table56[Newtonsoft])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AverageNumbers[](Table56[Jil])</totalsRowFormula>
    </tableColumn>
    <tableColumn id="9" name="NetJSON"/>
    <tableColumn id="8" name="Jackson"/>
    <tableColumn id="4" name="DSL Platform Java" totalsRowFunction="custom">
      <totalsRowFormula>AverageNumbers[](Table56[DSL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AverageNumbers[](Table56[Gson])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AverageNumbers[](Table56[Service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60" name="Table60" displayName="Table60" ref="B37:N42" totalsRowShown="0">
  <autoFilter ref="B37:N42"/>
  <tableColumns count="13">
    <tableColumn id="1" name="Average"/>
    <tableColumn id="2" name="Newtonsoft" dataDxfId="215">
      <calculatedColumnFormula>AverageNumbers[](Table56[Newtonsoft])</calculatedColumnFormula>
    </tableColumn>
    <tableColumn id="3" name="Revenj" dataDxfId="214"/>
    <tableColumn id="11" name="fastJSON" dataDxfId="213"/>
    <tableColumn id="4" name="Service Stack" dataDxfId="212"/>
    <tableColumn id="8" name="Jil" dataDxfId="211"/>
    <tableColumn id="7" name="NetJSON" dataDxfId="210"/>
    <tableColumn id="5" name="Jackson afterburner" dataDxfId="209"/>
    <tableColumn id="6" name="DSL Platform Java" dataDxfId="208"/>
    <tableColumn id="9" name="Genson" dataDxfId="207"/>
    <tableColumn id="13" name="Boon" dataDxfId="206"/>
    <tableColumn id="12" name="Alibaba" dataDxfId="205"/>
    <tableColumn id="10" name="Gson" dataDxfId="204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59" name="Table59" displayName="Table59" ref="B46:N48" totalsRowShown="0">
  <autoFilter ref="B46:N48"/>
  <tableColumns count="13">
    <tableColumn id="1" name="Deviation"/>
    <tableColumn id="2" name="Newtonsoft" dataDxfId="203">
      <calculatedColumnFormula>AverageNumbers[](Table56[Newtonsoft])</calculatedColumnFormula>
    </tableColumn>
    <tableColumn id="3" name="Revenj" dataDxfId="202"/>
    <tableColumn id="11" name="fastJSON" dataDxfId="201"/>
    <tableColumn id="4" name="Service Stack" dataDxfId="200"/>
    <tableColumn id="5" name="Jil" dataDxfId="199">
      <calculatedColumnFormula>DEVSQ(Table56[Jil])</calculatedColumnFormula>
    </tableColumn>
    <tableColumn id="6" name="NetJSON" dataDxfId="198">
      <calculatedColumnFormula>DEVSQ(Table58[NetJSON])</calculatedColumnFormula>
    </tableColumn>
    <tableColumn id="7" name="Jackson afterburner" dataDxfId="197"/>
    <tableColumn id="8" name="DSL Platform Java" dataDxfId="196"/>
    <tableColumn id="9" name="Genson" dataDxfId="195"/>
    <tableColumn id="13" name="Boon" dataDxfId="194"/>
    <tableColumn id="12" name="Alibaba" dataDxfId="193"/>
    <tableColumn id="10" name="Gson" dataDxfId="192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58" name="Table58" displayName="Table58" ref="B67:M72">
  <autoFilter ref="B67:M72"/>
  <tableColumns count="12">
    <tableColumn id="2" name="Newtonsoft" totalsRowFunction="custom">
      <totalsRowFormula>AverageNumbers[](Table58[Newtonsoft])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AverageNumbers[](Table58[Jil])</totalsRowFormula>
    </tableColumn>
    <tableColumn id="10" name="NetJSON"/>
    <tableColumn id="15" name="Jackson"/>
    <tableColumn id="6" name="DSL Platform Java" totalsRowFunction="custom">
      <totalsRowFormula>AverageNumbers[](Table58[DSL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Instance" displayName="Instance" ref="B51:M56">
  <autoFilter ref="B51:M56"/>
  <tableColumns count="12">
    <tableColumn id="2" name="Newtonsoft" totalsRowFunction="custom">
      <totalsRowFormula>AverageNumbers[](Instance[Newtonsoft])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AverageNumbers[](Instance[Jil])</totalsRowFormula>
    </tableColumn>
    <tableColumn id="10" name="NetJSON"/>
    <tableColumn id="15" name="Jackson"/>
    <tableColumn id="6" name="DSL Platform Java" totalsRowFunction="custom">
      <totalsRowFormula>AverageNumbers[](Instance[DSL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57" name="Table57" displayName="Table57" ref="B51:M56">
  <autoFilter ref="B51:M56"/>
  <tableColumns count="12">
    <tableColumn id="2" name="Newtonsoft" totalsRowFunction="custom">
      <totalsRowFormula>AverageNumbers[](Table57[Newtonsoft])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AverageNumbers[](Table57[Jil])</totalsRowFormula>
    </tableColumn>
    <tableColumn id="10" name="NetJSON"/>
    <tableColumn id="15" name="Jackson"/>
    <tableColumn id="6" name="DSL Platform Java" totalsRowFunction="custom">
      <totalsRowFormula>AverageNumbers[](Table57[DSL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61" name="Table61" displayName="Table61" ref="B59:Y64">
  <autoFilter ref="B59:Y64"/>
  <tableColumns count="24">
    <tableColumn id="2" name="Newtonsoft" totalsRowFunction="custom">
      <totalsRowFormula>AverageNumbers[](Table61[Newtonsoft])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AverageNumbers[](Table61[Jil])</totalsRowFormula>
    </tableColumn>
    <tableColumn id="9" name="NetJSON"/>
    <tableColumn id="8" name="Jackson"/>
    <tableColumn id="4" name="DSL Platform Java" totalsRowFunction="custom">
      <totalsRowFormula>AverageNumbers[](Table61[DSL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AverageNumbers[](Table61[Gson])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AverageNumbers[](Table61[Service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65" name="Table65" displayName="Table65" ref="B37:N42" totalsRowShown="0">
  <autoFilter ref="B37:N42"/>
  <tableColumns count="13">
    <tableColumn id="1" name="Average"/>
    <tableColumn id="2" name="Newtonsoft" dataDxfId="191">
      <calculatedColumnFormula>AverageNumbers[](Table61[Newtonsoft])</calculatedColumnFormula>
    </tableColumn>
    <tableColumn id="3" name="Revenj" dataDxfId="190"/>
    <tableColumn id="11" name="fastJSON" dataDxfId="189"/>
    <tableColumn id="4" name="Service Stack" dataDxfId="188"/>
    <tableColumn id="8" name="Jil" dataDxfId="187"/>
    <tableColumn id="7" name="NetJSON" dataDxfId="186"/>
    <tableColumn id="5" name="Jackson afterburner" dataDxfId="185"/>
    <tableColumn id="6" name="DSL Platform Java" dataDxfId="184"/>
    <tableColumn id="9" name="Genson" dataDxfId="183"/>
    <tableColumn id="13" name="Boon" dataDxfId="182"/>
    <tableColumn id="12" name="Alibaba" dataDxfId="181"/>
    <tableColumn id="10" name="Gson" dataDxfId="180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64" name="Table64" displayName="Table64" ref="B46:N48" totalsRowShown="0">
  <autoFilter ref="B46:N48"/>
  <tableColumns count="13">
    <tableColumn id="1" name="Deviation"/>
    <tableColumn id="2" name="Newtonsoft" dataDxfId="179">
      <calculatedColumnFormula>AverageNumbers[](Table61[Newtonsoft])</calculatedColumnFormula>
    </tableColumn>
    <tableColumn id="3" name="Revenj" dataDxfId="178"/>
    <tableColumn id="11" name="fastJSON" dataDxfId="177"/>
    <tableColumn id="4" name="Service Stack" dataDxfId="176"/>
    <tableColumn id="5" name="Jil" dataDxfId="175">
      <calculatedColumnFormula>DEVSQ(Table61[Jil])</calculatedColumnFormula>
    </tableColumn>
    <tableColumn id="6" name="NetJSON" dataDxfId="174">
      <calculatedColumnFormula>DEVSQ(Table63[NetJSON])</calculatedColumnFormula>
    </tableColumn>
    <tableColumn id="7" name="Jackson afterburner" dataDxfId="173"/>
    <tableColumn id="8" name="DSL Platform Java" dataDxfId="172"/>
    <tableColumn id="9" name="Genson" dataDxfId="171"/>
    <tableColumn id="13" name="Boon" dataDxfId="170"/>
    <tableColumn id="12" name="Alibaba" dataDxfId="169"/>
    <tableColumn id="10" name="Gson" dataDxfId="168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63" name="Table63" displayName="Table63" ref="B67:M72">
  <autoFilter ref="B67:M72"/>
  <tableColumns count="12">
    <tableColumn id="2" name="Newtonsoft" totalsRowFunction="custom">
      <totalsRowFormula>AverageNumbers[](Table63[Newtonsoft])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AverageNumbers[](Table63[Jil])</totalsRowFormula>
    </tableColumn>
    <tableColumn id="10" name="NetJSON"/>
    <tableColumn id="15" name="Jackson"/>
    <tableColumn id="6" name="DSL Platform Java" totalsRowFunction="custom">
      <totalsRowFormula>AverageNumbers[](Table63[DSL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62" name="Table62" displayName="Table62" ref="B51:M56">
  <autoFilter ref="B51:M56"/>
  <tableColumns count="12">
    <tableColumn id="2" name="Newtonsoft" totalsRowFunction="custom">
      <totalsRowFormula>AverageNumbers[](Table62[Newtonsoft])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AverageNumbers[](Table62[Jil])</totalsRowFormula>
    </tableColumn>
    <tableColumn id="10" name="NetJSON"/>
    <tableColumn id="15" name="Jackson"/>
    <tableColumn id="6" name="DSL Platform Java" totalsRowFunction="custom">
      <totalsRowFormula>AverageNumbers[](Table62[DSL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66" name="Table66" displayName="Table66" ref="B59:Y64">
  <autoFilter ref="B59:Y64"/>
  <tableColumns count="24">
    <tableColumn id="2" name="Newtonsoft" totalsRowFunction="custom">
      <totalsRowFormula>AverageNumbers[](Table66[Newtonsoft])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AverageNumbers[](Table66[Jil])</totalsRowFormula>
    </tableColumn>
    <tableColumn id="9" name="NetJSON"/>
    <tableColumn id="8" name="Jackson"/>
    <tableColumn id="4" name="DSL Platform Java" totalsRowFunction="custom">
      <totalsRowFormula>AverageNumbers[](Table66[DSL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AverageNumbers[](Table66[Gson])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AverageNumbers[](Table66[Service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70" name="Table70" displayName="Table70" ref="B37:N42" totalsRowShown="0">
  <autoFilter ref="B37:N42"/>
  <tableColumns count="13">
    <tableColumn id="1" name="Average"/>
    <tableColumn id="2" name="Newtonsoft" dataDxfId="167">
      <calculatedColumnFormula>AverageNumbers[](Table66[Newtonsoft])</calculatedColumnFormula>
    </tableColumn>
    <tableColumn id="3" name="Revenj" dataDxfId="166"/>
    <tableColumn id="11" name="fastJSON" dataDxfId="165"/>
    <tableColumn id="4" name="Service Stack" dataDxfId="164"/>
    <tableColumn id="8" name="Jil" dataDxfId="163"/>
    <tableColumn id="7" name="NetJSON" dataDxfId="162"/>
    <tableColumn id="5" name="Jackson afterburner" dataDxfId="161"/>
    <tableColumn id="6" name="DSL Platform Java" dataDxfId="160"/>
    <tableColumn id="9" name="Genson" dataDxfId="159"/>
    <tableColumn id="13" name="Boon" dataDxfId="158"/>
    <tableColumn id="12" name="Alibaba" dataDxfId="157"/>
    <tableColumn id="10" name="Gson" dataDxfId="156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69" name="Table69" displayName="Table69" ref="B46:N48" totalsRowShown="0">
  <autoFilter ref="B46:N48"/>
  <tableColumns count="13">
    <tableColumn id="1" name="Deviation"/>
    <tableColumn id="2" name="Newtonsoft" dataDxfId="155">
      <calculatedColumnFormula>AverageNumbers[](Table66[Newtonsoft])</calculatedColumnFormula>
    </tableColumn>
    <tableColumn id="3" name="Revenj" dataDxfId="154"/>
    <tableColumn id="11" name="fastJSON" dataDxfId="153"/>
    <tableColumn id="4" name="Service Stack" dataDxfId="152"/>
    <tableColumn id="5" name="Jil" dataDxfId="151">
      <calculatedColumnFormula>DEVSQ(Table66[Jil])</calculatedColumnFormula>
    </tableColumn>
    <tableColumn id="6" name="NetJSON" dataDxfId="150">
      <calculatedColumnFormula>DEVSQ(Table68[NetJSON])</calculatedColumnFormula>
    </tableColumn>
    <tableColumn id="7" name="Jackson afterburner" dataDxfId="149"/>
    <tableColumn id="8" name="DSL Platform Java" dataDxfId="148"/>
    <tableColumn id="9" name="Genson" dataDxfId="147"/>
    <tableColumn id="13" name="Boon" dataDxfId="146"/>
    <tableColumn id="12" name="Alibaba" dataDxfId="145"/>
    <tableColumn id="10" name="Gson" dataDxfId="144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68" name="Table68" displayName="Table68" ref="B67:M72">
  <autoFilter ref="B67:M72"/>
  <tableColumns count="12">
    <tableColumn id="2" name="Newtonsoft" totalsRowFunction="custom">
      <totalsRowFormula>AverageNumbers[](Table68[Newtonsoft])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AverageNumbers[](Table68[Jil])</totalsRowFormula>
    </tableColumn>
    <tableColumn id="10" name="NetJSON"/>
    <tableColumn id="15" name="Jackson"/>
    <tableColumn id="6" name="DSL Platform Java" totalsRowFunction="custom">
      <totalsRowFormula>AverageNumbers[](Table68[DSL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Table16" displayName="Table16" ref="B59:Y64">
  <autoFilter ref="B59:Y64"/>
  <tableColumns count="24">
    <tableColumn id="2" name="Newtonsoft" totalsRowFunction="custom">
      <totalsRowFormula>AverageNumbers[](Table16[Newtonsoft])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AverageNumbers[](Table16[Jil])</totalsRowFormula>
    </tableColumn>
    <tableColumn id="9" name="NetJSON"/>
    <tableColumn id="8" name="Jackson"/>
    <tableColumn id="4" name="DSL Platform Java" totalsRowFunction="custom">
      <totalsRowFormula>AverageNumbers[](Table16[DSL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AverageNumbers[](Table16[Gson])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AverageNumbers[](Table16[Service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67" name="Table67" displayName="Table67" ref="B51:M56">
  <autoFilter ref="B51:M56"/>
  <tableColumns count="12">
    <tableColumn id="2" name="Newtonsoft" totalsRowFunction="custom">
      <totalsRowFormula>AverageNumbers[](Table67[Newtonsoft])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AverageNumbers[](Table67[Jil])</totalsRowFormula>
    </tableColumn>
    <tableColumn id="10" name="NetJSON"/>
    <tableColumn id="15" name="Jackson"/>
    <tableColumn id="6" name="DSL Platform Java" totalsRowFunction="custom">
      <totalsRowFormula>AverageNumbers[](Table67[DSL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71" name="Table71" displayName="Table71" ref="B59:Y64">
  <autoFilter ref="B59:Y64"/>
  <tableColumns count="24">
    <tableColumn id="2" name="Newtonsoft" totalsRowFunction="custom">
      <totalsRowFormula>AverageNumbers[](Table71[Newtonsoft])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AverageNumbers[](Table71[Jil])</totalsRowFormula>
    </tableColumn>
    <tableColumn id="9" name="NetJSON"/>
    <tableColumn id="8" name="Jackson"/>
    <tableColumn id="4" name="DSL Platform Java" totalsRowFunction="custom">
      <totalsRowFormula>AverageNumbers[](Table71[DSL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AverageNumbers[](Table71[Gson])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AverageNumbers[](Table71[Service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75" name="Table75" displayName="Table75" ref="B37:N42" totalsRowShown="0">
  <autoFilter ref="B37:N42"/>
  <tableColumns count="13">
    <tableColumn id="1" name="Average"/>
    <tableColumn id="2" name="Newtonsoft" dataDxfId="143">
      <calculatedColumnFormula>AverageNumbers[](Table71[Newtonsoft])</calculatedColumnFormula>
    </tableColumn>
    <tableColumn id="3" name="Revenj" dataDxfId="142"/>
    <tableColumn id="11" name="fastJSON" dataDxfId="141"/>
    <tableColumn id="4" name="Service Stack" dataDxfId="140"/>
    <tableColumn id="8" name="Jil" dataDxfId="139"/>
    <tableColumn id="7" name="NetJSON" dataDxfId="138"/>
    <tableColumn id="5" name="Jackson afterburner" dataDxfId="137"/>
    <tableColumn id="6" name="DSL Platform Java" dataDxfId="136"/>
    <tableColumn id="9" name="Genson" dataDxfId="135"/>
    <tableColumn id="13" name="Boon" dataDxfId="134"/>
    <tableColumn id="12" name="Alibaba" dataDxfId="133"/>
    <tableColumn id="10" name="Gson" dataDxfId="132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74" name="Table74" displayName="Table74" ref="B46:N48" totalsRowShown="0">
  <autoFilter ref="B46:N48"/>
  <tableColumns count="13">
    <tableColumn id="1" name="Deviation"/>
    <tableColumn id="2" name="Newtonsoft" dataDxfId="131">
      <calculatedColumnFormula>AverageNumbers[](Table71[Newtonsoft])</calculatedColumnFormula>
    </tableColumn>
    <tableColumn id="3" name="Revenj" dataDxfId="130"/>
    <tableColumn id="11" name="fastJSON" dataDxfId="129"/>
    <tableColumn id="4" name="Service Stack" dataDxfId="128"/>
    <tableColumn id="5" name="Jil" dataDxfId="127">
      <calculatedColumnFormula>DEVSQ(Table71[Jil])</calculatedColumnFormula>
    </tableColumn>
    <tableColumn id="6" name="NetJSON" dataDxfId="126">
      <calculatedColumnFormula>DEVSQ(Table73[NetJSON])</calculatedColumnFormula>
    </tableColumn>
    <tableColumn id="7" name="Jackson afterburner" dataDxfId="125"/>
    <tableColumn id="8" name="DSL Platform Java" dataDxfId="124"/>
    <tableColumn id="9" name="Genson" dataDxfId="123"/>
    <tableColumn id="13" name="Boon" dataDxfId="122"/>
    <tableColumn id="12" name="Alibaba" dataDxfId="121"/>
    <tableColumn id="10" name="Gson" dataDxfId="120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73" name="Table73" displayName="Table73" ref="B67:M72">
  <autoFilter ref="B67:M72"/>
  <tableColumns count="12">
    <tableColumn id="2" name="Newtonsoft" totalsRowFunction="custom">
      <totalsRowFormula>AverageNumbers[](Table73[Newtonsoft])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AverageNumbers[](Table73[Jil])</totalsRowFormula>
    </tableColumn>
    <tableColumn id="10" name="NetJSON"/>
    <tableColumn id="15" name="Jackson"/>
    <tableColumn id="6" name="DSL Platform Java" totalsRowFunction="custom">
      <totalsRowFormula>AverageNumbers[](Table73[DSL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72" name="Table72" displayName="Table72" ref="B51:M56">
  <autoFilter ref="B51:M56"/>
  <tableColumns count="12">
    <tableColumn id="2" name="Newtonsoft" totalsRowFunction="custom">
      <totalsRowFormula>AverageNumbers[](Table72[Newtonsoft])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AverageNumbers[](Table72[Jil])</totalsRowFormula>
    </tableColumn>
    <tableColumn id="10" name="NetJSON"/>
    <tableColumn id="15" name="Jackson"/>
    <tableColumn id="6" name="DSL Platform Java" totalsRowFunction="custom">
      <totalsRowFormula>AverageNumbers[](Table72[DSL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76" name="Table76" displayName="Table76" ref="B59:Y64">
  <autoFilter ref="B59:Y64"/>
  <tableColumns count="24">
    <tableColumn id="2" name="Newtonsoft" totalsRowFunction="custom">
      <totalsRowFormula>AverageNumbers[](Table76[Newtonsoft])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AverageNumbers[](Table76[Jil])</totalsRowFormula>
    </tableColumn>
    <tableColumn id="9" name="NetJSON"/>
    <tableColumn id="8" name="Jackson"/>
    <tableColumn id="4" name="DSL Platform Java" totalsRowFunction="custom">
      <totalsRowFormula>AverageNumbers[](Table76[DSL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AverageNumbers[](Table76[Gson])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AverageNumbers[](Table76[Service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80" name="Table80" displayName="Table80" ref="B37:N42" totalsRowShown="0">
  <autoFilter ref="B37:N42"/>
  <tableColumns count="13">
    <tableColumn id="1" name="Average"/>
    <tableColumn id="2" name="Newtonsoft" dataDxfId="119">
      <calculatedColumnFormula>AverageNumbers[](Table76[Newtonsoft])</calculatedColumnFormula>
    </tableColumn>
    <tableColumn id="3" name="Revenj" dataDxfId="118"/>
    <tableColumn id="11" name="fastJSON" dataDxfId="117"/>
    <tableColumn id="4" name="Service Stack" dataDxfId="116"/>
    <tableColumn id="8" name="Jil" dataDxfId="115"/>
    <tableColumn id="7" name="NetJSON" dataDxfId="114"/>
    <tableColumn id="5" name="Jackson afterburner" dataDxfId="113"/>
    <tableColumn id="6" name="DSL Platform Java" dataDxfId="112"/>
    <tableColumn id="9" name="Genson" dataDxfId="111"/>
    <tableColumn id="13" name="Boon" dataDxfId="110"/>
    <tableColumn id="12" name="Alibaba" dataDxfId="109"/>
    <tableColumn id="10" name="Gson" dataDxfId="108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79" name="Table79" displayName="Table79" ref="B46:N48" totalsRowShown="0">
  <autoFilter ref="B46:N48"/>
  <tableColumns count="13">
    <tableColumn id="1" name="Deviation"/>
    <tableColumn id="2" name="Newtonsoft" dataDxfId="107">
      <calculatedColumnFormula>AverageNumbers[](Table76[Newtonsoft])</calculatedColumnFormula>
    </tableColumn>
    <tableColumn id="3" name="Revenj" dataDxfId="106"/>
    <tableColumn id="11" name="fastJSON" dataDxfId="105"/>
    <tableColumn id="4" name="Service Stack" dataDxfId="104"/>
    <tableColumn id="5" name="Jil" dataDxfId="103">
      <calculatedColumnFormula>DEVSQ(Table76[Jil])</calculatedColumnFormula>
    </tableColumn>
    <tableColumn id="6" name="NetJSON" dataDxfId="102">
      <calculatedColumnFormula>DEVSQ(Table78[NetJSON])</calculatedColumnFormula>
    </tableColumn>
    <tableColumn id="7" name="Jackson afterburner" dataDxfId="101"/>
    <tableColumn id="8" name="DSL Platform Java" dataDxfId="100"/>
    <tableColumn id="9" name="Genson" dataDxfId="99"/>
    <tableColumn id="13" name="Boon" dataDxfId="98"/>
    <tableColumn id="12" name="Alibaba" dataDxfId="97"/>
    <tableColumn id="10" name="Gson" dataDxfId="96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78" name="Table78" displayName="Table78" ref="B67:M72">
  <autoFilter ref="B67:M72"/>
  <tableColumns count="12">
    <tableColumn id="2" name="Newtonsoft" totalsRowFunction="custom">
      <totalsRowFormula>AverageNumbers[](Table78[Newtonsoft])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AverageNumbers[](Table78[Jil])</totalsRowFormula>
    </tableColumn>
    <tableColumn id="10" name="NetJSON"/>
    <tableColumn id="15" name="Jackson"/>
    <tableColumn id="6" name="DSL Platform Java" totalsRowFunction="custom">
      <totalsRowFormula>AverageNumbers[](Table78[DSL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0" name="Table20" displayName="Table20" ref="B37:N42" totalsRowShown="0">
  <autoFilter ref="B37:N42"/>
  <tableColumns count="13">
    <tableColumn id="1" name="Average"/>
    <tableColumn id="2" name="Newtonsoft" dataDxfId="407">
      <calculatedColumnFormula>AverageNumbers[](Table16[Newtonsoft])</calculatedColumnFormula>
    </tableColumn>
    <tableColumn id="3" name="Revenj" dataDxfId="406"/>
    <tableColumn id="11" name="fastJSON" dataDxfId="405"/>
    <tableColumn id="4" name="Service Stack" dataDxfId="404"/>
    <tableColumn id="8" name="Jil" dataDxfId="403"/>
    <tableColumn id="7" name="NetJSON" dataDxfId="402"/>
    <tableColumn id="5" name="Jackson afterburner" dataDxfId="401"/>
    <tableColumn id="6" name="DSL Platform Java" dataDxfId="400"/>
    <tableColumn id="9" name="Genson" dataDxfId="399"/>
    <tableColumn id="13" name="Boon" dataDxfId="398"/>
    <tableColumn id="12" name="Alibaba" dataDxfId="397"/>
    <tableColumn id="10" name="Gson" dataDxfId="396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77" name="Table77" displayName="Table77" ref="B51:M56">
  <autoFilter ref="B51:M56"/>
  <tableColumns count="12">
    <tableColumn id="2" name="Newtonsoft" totalsRowFunction="custom">
      <totalsRowFormula>AverageNumbers[](Table77[Newtonsoft])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AverageNumbers[](Table77[Jil])</totalsRowFormula>
    </tableColumn>
    <tableColumn id="10" name="NetJSON"/>
    <tableColumn id="15" name="Jackson"/>
    <tableColumn id="6" name="DSL Platform Java" totalsRowFunction="custom">
      <totalsRowFormula>AverageNumbers[](Table77[DSL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81" name="Table81" displayName="Table81" ref="B59:Y64">
  <autoFilter ref="B59:Y64"/>
  <tableColumns count="24">
    <tableColumn id="2" name="Newtonsoft" totalsRowFunction="custom">
      <totalsRowFormula>AverageNumbers[](Table81[Newtonsoft])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AverageNumbers[](Table81[Jil])</totalsRowFormula>
    </tableColumn>
    <tableColumn id="9" name="NetJSON"/>
    <tableColumn id="8" name="Jackson"/>
    <tableColumn id="4" name="DSL Platform Java" totalsRowFunction="custom">
      <totalsRowFormula>AverageNumbers[](Table81[DSL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AverageNumbers[](Table81[Gson])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AverageNumbers[](Table81[Service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85" name="Table85" displayName="Table85" ref="B37:N42" totalsRowShown="0">
  <autoFilter ref="B37:N42"/>
  <tableColumns count="13">
    <tableColumn id="1" name="Average"/>
    <tableColumn id="2" name="Newtonsoft" dataDxfId="95">
      <calculatedColumnFormula>AverageNumbers[](Table81[Newtonsoft])</calculatedColumnFormula>
    </tableColumn>
    <tableColumn id="3" name="Revenj" dataDxfId="94"/>
    <tableColumn id="11" name="fastJSON" dataDxfId="93"/>
    <tableColumn id="4" name="Service Stack" dataDxfId="92"/>
    <tableColumn id="8" name="Jil" dataDxfId="91"/>
    <tableColumn id="7" name="NetJSON" dataDxfId="90"/>
    <tableColumn id="5" name="Jackson afterburner" dataDxfId="89"/>
    <tableColumn id="6" name="DSL Platform Java" dataDxfId="88"/>
    <tableColumn id="9" name="Genson" dataDxfId="87"/>
    <tableColumn id="13" name="Boon" dataDxfId="86"/>
    <tableColumn id="12" name="Alibaba" dataDxfId="85"/>
    <tableColumn id="10" name="Gson" dataDxfId="84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84" name="Table84" displayName="Table84" ref="B46:N48" totalsRowShown="0">
  <autoFilter ref="B46:N48"/>
  <tableColumns count="13">
    <tableColumn id="1" name="Deviation"/>
    <tableColumn id="2" name="Newtonsoft" dataDxfId="83">
      <calculatedColumnFormula>AverageNumbers[](Table81[Newtonsoft])</calculatedColumnFormula>
    </tableColumn>
    <tableColumn id="3" name="Revenj" dataDxfId="82"/>
    <tableColumn id="11" name="fastJSON" dataDxfId="81"/>
    <tableColumn id="4" name="Service Stack" dataDxfId="80"/>
    <tableColumn id="5" name="Jil" dataDxfId="79">
      <calculatedColumnFormula>DEVSQ(Table81[Jil])</calculatedColumnFormula>
    </tableColumn>
    <tableColumn id="6" name="NetJSON" dataDxfId="78">
      <calculatedColumnFormula>DEVSQ(Table83[NetJSON])</calculatedColumnFormula>
    </tableColumn>
    <tableColumn id="7" name="Jackson afterburner" dataDxfId="77"/>
    <tableColumn id="8" name="DSL Platform Java" dataDxfId="76"/>
    <tableColumn id="9" name="Genson" dataDxfId="75"/>
    <tableColumn id="13" name="Boon" dataDxfId="74"/>
    <tableColumn id="12" name="Alibaba" dataDxfId="73"/>
    <tableColumn id="10" name="Gson" dataDxfId="72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83" name="Table83" displayName="Table83" ref="B67:M72">
  <autoFilter ref="B67:M72"/>
  <tableColumns count="12">
    <tableColumn id="2" name="Newtonsoft" totalsRowFunction="custom">
      <totalsRowFormula>AverageNumbers[](Table83[Newtonsoft])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AverageNumbers[](Table83[Jil])</totalsRowFormula>
    </tableColumn>
    <tableColumn id="10" name="NetJSON"/>
    <tableColumn id="15" name="Jackson"/>
    <tableColumn id="6" name="DSL Platform Java" totalsRowFunction="custom">
      <totalsRowFormula>AverageNumbers[](Table83[DSL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82" name="Table82" displayName="Table82" ref="B51:M56">
  <autoFilter ref="B51:M56"/>
  <tableColumns count="12">
    <tableColumn id="2" name="Newtonsoft" totalsRowFunction="custom">
      <totalsRowFormula>AverageNumbers[](Table82[Newtonsoft])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AverageNumbers[](Table82[Jil])</totalsRowFormula>
    </tableColumn>
    <tableColumn id="10" name="NetJSON"/>
    <tableColumn id="15" name="Jackson"/>
    <tableColumn id="6" name="DSL Platform Java" totalsRowFunction="custom">
      <totalsRowFormula>AverageNumbers[](Table82[DSL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86" name="Table86" displayName="Table86" ref="B59:Y64">
  <autoFilter ref="B59:Y64"/>
  <tableColumns count="24">
    <tableColumn id="2" name="Newtonsoft" totalsRowFunction="custom">
      <totalsRowFormula>AverageNumbers[](Table86[Newtonsoft])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AverageNumbers[](Table86[Jil])</totalsRowFormula>
    </tableColumn>
    <tableColumn id="9" name="NetJSON"/>
    <tableColumn id="8" name="Jackson"/>
    <tableColumn id="4" name="DSL Platform Java" totalsRowFunction="custom">
      <totalsRowFormula>AverageNumbers[](Table86[DSL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AverageNumbers[](Table86[Gson])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AverageNumbers[](Table86[Service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90" name="Table90" displayName="Table90" ref="B37:N42" totalsRowShown="0">
  <autoFilter ref="B37:N42"/>
  <tableColumns count="13">
    <tableColumn id="1" name="Average"/>
    <tableColumn id="2" name="Newtonsoft" dataDxfId="71">
      <calculatedColumnFormula>AverageNumbers[](Table86[Newtonsoft])</calculatedColumnFormula>
    </tableColumn>
    <tableColumn id="3" name="Revenj" dataDxfId="70"/>
    <tableColumn id="11" name="fastJSON" dataDxfId="69"/>
    <tableColumn id="4" name="Service Stack" dataDxfId="68"/>
    <tableColumn id="8" name="Jil" dataDxfId="67"/>
    <tableColumn id="7" name="NetJSON" dataDxfId="66"/>
    <tableColumn id="5" name="Jackson afterburner" dataDxfId="65"/>
    <tableColumn id="6" name="DSL Platform Java" dataDxfId="64"/>
    <tableColumn id="9" name="Genson" dataDxfId="63"/>
    <tableColumn id="13" name="Boon" dataDxfId="62"/>
    <tableColumn id="12" name="Alibaba" dataDxfId="61"/>
    <tableColumn id="10" name="Gson" dataDxfId="60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89" name="Table89" displayName="Table89" ref="B46:N48" totalsRowShown="0">
  <autoFilter ref="B46:N48"/>
  <tableColumns count="13">
    <tableColumn id="1" name="Deviation"/>
    <tableColumn id="2" name="Newtonsoft" dataDxfId="59">
      <calculatedColumnFormula>AverageNumbers[](Table86[Newtonsoft])</calculatedColumnFormula>
    </tableColumn>
    <tableColumn id="3" name="Revenj" dataDxfId="58"/>
    <tableColumn id="11" name="fastJSON" dataDxfId="57"/>
    <tableColumn id="4" name="Service Stack" dataDxfId="56"/>
    <tableColumn id="5" name="Jil" dataDxfId="55">
      <calculatedColumnFormula>DEVSQ(Table86[Jil])</calculatedColumnFormula>
    </tableColumn>
    <tableColumn id="6" name="NetJSON" dataDxfId="54">
      <calculatedColumnFormula>DEVSQ(Table88[NetJSON])</calculatedColumnFormula>
    </tableColumn>
    <tableColumn id="7" name="Jackson afterburner" dataDxfId="53"/>
    <tableColumn id="8" name="DSL Platform Java" dataDxfId="52"/>
    <tableColumn id="9" name="Genson" dataDxfId="51"/>
    <tableColumn id="13" name="Boon" dataDxfId="50"/>
    <tableColumn id="12" name="Alibaba" dataDxfId="49"/>
    <tableColumn id="10" name="Gson" dataDxfId="48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88" name="Table88" displayName="Table88" ref="B67:M72">
  <autoFilter ref="B67:M72"/>
  <tableColumns count="12">
    <tableColumn id="2" name="Newtonsoft" totalsRowFunction="custom">
      <totalsRowFormula>AverageNumbers[](Table88[Newtonsoft])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AverageNumbers[](Table88[Jil])</totalsRowFormula>
    </tableColumn>
    <tableColumn id="10" name="NetJSON"/>
    <tableColumn id="15" name="Jackson"/>
    <tableColumn id="6" name="DSL Platform Java" totalsRowFunction="custom">
      <totalsRowFormula>AverageNumbers[](Table88[DSL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9" name="Table19" displayName="Table19" ref="B46:N48" totalsRowShown="0">
  <autoFilter ref="B46:N48"/>
  <tableColumns count="13">
    <tableColumn id="1" name="Deviation"/>
    <tableColumn id="2" name="Newtonsoft" dataDxfId="395">
      <calculatedColumnFormula>AverageNumbers[](Table16[Newtonsoft])</calculatedColumnFormula>
    </tableColumn>
    <tableColumn id="3" name="Revenj" dataDxfId="394"/>
    <tableColumn id="11" name="fastJSON" dataDxfId="393"/>
    <tableColumn id="4" name="Service Stack" dataDxfId="392"/>
    <tableColumn id="5" name="Jil" dataDxfId="391">
      <calculatedColumnFormula>DEVSQ(Table16[Jil])</calculatedColumnFormula>
    </tableColumn>
    <tableColumn id="6" name="NetJSON" dataDxfId="390">
      <calculatedColumnFormula>DEVSQ(Table18[NetJSON])</calculatedColumnFormula>
    </tableColumn>
    <tableColumn id="7" name="Jackson afterburner" dataDxfId="389"/>
    <tableColumn id="8" name="DSL Platform Java" dataDxfId="388"/>
    <tableColumn id="9" name="Genson" dataDxfId="387"/>
    <tableColumn id="13" name="Boon" dataDxfId="386"/>
    <tableColumn id="12" name="Alibaba" dataDxfId="385"/>
    <tableColumn id="10" name="Gson" dataDxfId="384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87" name="Table87" displayName="Table87" ref="B51:M56">
  <autoFilter ref="B51:M56"/>
  <tableColumns count="12">
    <tableColumn id="2" name="Newtonsoft" totalsRowFunction="custom">
      <totalsRowFormula>AverageNumbers[](Table87[Newtonsoft])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AverageNumbers[](Table87[Jil])</totalsRowFormula>
    </tableColumn>
    <tableColumn id="10" name="NetJSON"/>
    <tableColumn id="15" name="Jackson"/>
    <tableColumn id="6" name="DSL Platform Java" totalsRowFunction="custom">
      <totalsRowFormula>AverageNumbers[](Table87[DSL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91" name="Table91" displayName="Table91" ref="B59:Y64">
  <autoFilter ref="B59:Y64"/>
  <tableColumns count="24">
    <tableColumn id="2" name="Newtonsoft" totalsRowFunction="custom">
      <totalsRowFormula>AverageNumbers[](Table91[Newtonsoft])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AverageNumbers[](Table91[Jil])</totalsRowFormula>
    </tableColumn>
    <tableColumn id="9" name="NetJSON"/>
    <tableColumn id="8" name="Jackson"/>
    <tableColumn id="4" name="DSL Platform Java" totalsRowFunction="custom">
      <totalsRowFormula>AverageNumbers[](Table91[DSL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AverageNumbers[](Table91[Gson])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AverageNumbers[](Table91[Service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95" name="Table95" displayName="Table95" ref="B37:N42" totalsRowShown="0">
  <autoFilter ref="B37:N42"/>
  <tableColumns count="13">
    <tableColumn id="1" name="Average"/>
    <tableColumn id="2" name="Newtonsoft (DSL model)" dataDxfId="47">
      <calculatedColumnFormula>AverageNumbers[](Table91[Newtonsoft])</calculatedColumnFormula>
    </tableColumn>
    <tableColumn id="3" name="Revenj" dataDxfId="46"/>
    <tableColumn id="11" name="fastJSON" dataDxfId="45"/>
    <tableColumn id="4" name="Service Stack" dataDxfId="44"/>
    <tableColumn id="8" name="Jil" dataDxfId="43"/>
    <tableColumn id="7" name="NetJSON" dataDxfId="42"/>
    <tableColumn id="5" name="Jackson afterburner" dataDxfId="41"/>
    <tableColumn id="6" name="DSL Platform Java" dataDxfId="40"/>
    <tableColumn id="9" name="Genson" dataDxfId="39"/>
    <tableColumn id="13" name="Boon" dataDxfId="38"/>
    <tableColumn id="12" name="Alibaba" dataDxfId="37"/>
    <tableColumn id="10" name="Gson" dataDxfId="36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94" name="Table94" displayName="Table94" ref="B46:N48" totalsRowShown="0">
  <autoFilter ref="B46:N48"/>
  <tableColumns count="13">
    <tableColumn id="1" name="Deviation"/>
    <tableColumn id="2" name="Newtonsoft" dataDxfId="35">
      <calculatedColumnFormula>AverageNumbers[](Table91[Newtonsoft])</calculatedColumnFormula>
    </tableColumn>
    <tableColumn id="3" name="Revenj" dataDxfId="34"/>
    <tableColumn id="11" name="fastJSON" dataDxfId="33"/>
    <tableColumn id="4" name="Service Stack" dataDxfId="32"/>
    <tableColumn id="5" name="Jil" dataDxfId="31">
      <calculatedColumnFormula>DEVSQ(Table91[Jil])</calculatedColumnFormula>
    </tableColumn>
    <tableColumn id="6" name="NetJSON" dataDxfId="30">
      <calculatedColumnFormula>DEVSQ(Table93[NetJSON])</calculatedColumnFormula>
    </tableColumn>
    <tableColumn id="7" name="Jackson afterburner" dataDxfId="29"/>
    <tableColumn id="8" name="DSL Platform Java" dataDxfId="28"/>
    <tableColumn id="9" name="Genson" dataDxfId="27"/>
    <tableColumn id="13" name="Boon" dataDxfId="26"/>
    <tableColumn id="12" name="Alibaba" dataDxfId="25"/>
    <tableColumn id="10" name="Gson" dataDxfId="24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93" name="Table93" displayName="Table93" ref="B67:M72">
  <autoFilter ref="B67:M72"/>
  <tableColumns count="12">
    <tableColumn id="2" name="Newtonsoft" totalsRowFunction="custom">
      <totalsRowFormula>AverageNumbers[](Table93[Newtonsoft])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AverageNumbers[](Table93[Jil])</totalsRowFormula>
    </tableColumn>
    <tableColumn id="10" name="NetJSON"/>
    <tableColumn id="15" name="Jackson"/>
    <tableColumn id="6" name="DSL Platform Java" totalsRowFunction="custom">
      <totalsRowFormula>AverageNumbers[](Table93[DSL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92" name="Table92" displayName="Table92" ref="B51:M56">
  <autoFilter ref="B51:M56"/>
  <tableColumns count="12">
    <tableColumn id="2" name="Newtonsoft" totalsRowFunction="custom">
      <totalsRowFormula>AverageNumbers[](Table92[Newtonsoft])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AverageNumbers[](Table92[Jil])</totalsRowFormula>
    </tableColumn>
    <tableColumn id="10" name="NetJSON"/>
    <tableColumn id="15" name="Jackson"/>
    <tableColumn id="6" name="DSL Platform Java" totalsRowFunction="custom">
      <totalsRowFormula>AverageNumbers[](Table92[DSL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96" name="Table96" displayName="Table96" ref="B59:Y64">
  <autoFilter ref="B59:Y64"/>
  <tableColumns count="24">
    <tableColumn id="2" name="Newtonsoft" totalsRowFunction="custom">
      <totalsRowFormula>AverageNumbers[](Table96[Newtonsoft])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AverageNumbers[](Table96[Jil])</totalsRowFormula>
    </tableColumn>
    <tableColumn id="9" name="NetJSON"/>
    <tableColumn id="8" name="Jackson"/>
    <tableColumn id="4" name="DSL Platform Java" totalsRowFunction="custom">
      <totalsRowFormula>AverageNumbers[](Table96[DSL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AverageNumbers[](Table96[Gson])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AverageNumbers[](Table96[Service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100" name="Table100" displayName="Table100" ref="B37:N42" totalsRowShown="0">
  <autoFilter ref="B37:N42"/>
  <tableColumns count="13">
    <tableColumn id="1" name="Average"/>
    <tableColumn id="2" name="Newtonsoft (DSL model)" dataDxfId="23">
      <calculatedColumnFormula>AverageNumbers[](Table96[Newtonsoft])</calculatedColumnFormula>
    </tableColumn>
    <tableColumn id="3" name="Revenj" dataDxfId="22"/>
    <tableColumn id="11" name="fastJSON" dataDxfId="21"/>
    <tableColumn id="4" name="Service Stack" dataDxfId="20"/>
    <tableColumn id="8" name="Jil" dataDxfId="19"/>
    <tableColumn id="7" name="NetJSON" dataDxfId="18"/>
    <tableColumn id="5" name="Jackson afterburner" dataDxfId="17"/>
    <tableColumn id="6" name="DSL Platform Java" dataDxfId="16"/>
    <tableColumn id="9" name="Genson" dataDxfId="15"/>
    <tableColumn id="13" name="Boon" dataDxfId="14"/>
    <tableColumn id="12" name="Alibaba" dataDxfId="13"/>
    <tableColumn id="10" name="Gson" dataDxfId="12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99" name="Table99" displayName="Table99" ref="B46:N48" totalsRowShown="0">
  <autoFilter ref="B46:N48"/>
  <tableColumns count="13">
    <tableColumn id="1" name="Deviation"/>
    <tableColumn id="2" name="Newtonsoft" dataDxfId="11">
      <calculatedColumnFormula>AverageNumbers[](Table96[Newtonsoft])</calculatedColumnFormula>
    </tableColumn>
    <tableColumn id="3" name="Revenj" dataDxfId="10"/>
    <tableColumn id="11" name="fastJSON" dataDxfId="9"/>
    <tableColumn id="4" name="Service Stack" dataDxfId="8"/>
    <tableColumn id="5" name="Jil" dataDxfId="7">
      <calculatedColumnFormula>DEVSQ(Table96[Jil])</calculatedColumnFormula>
    </tableColumn>
    <tableColumn id="6" name="NetJSON" dataDxfId="6">
      <calculatedColumnFormula>DEVSQ(Table98[NetJSON])</calculatedColumnFormula>
    </tableColumn>
    <tableColumn id="7" name="Jackson afterburner" dataDxfId="5"/>
    <tableColumn id="8" name="DSL Platform Java" dataDxfId="4"/>
    <tableColumn id="9" name="Genson" dataDxfId="3"/>
    <tableColumn id="13" name="Boon" dataDxfId="2"/>
    <tableColumn id="12" name="Alibaba" dataDxfId="1"/>
    <tableColumn id="10" name="Gson" dataDxfId="0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98" name="Table98" displayName="Table98" ref="B67:M72">
  <autoFilter ref="B67:M72"/>
  <tableColumns count="12">
    <tableColumn id="2" name="Newtonsoft" totalsRowFunction="custom">
      <totalsRowFormula>AverageNumbers[](Table98[Newtonsoft])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AverageNumbers[](Table98[Jil])</totalsRowFormula>
    </tableColumn>
    <tableColumn id="10" name="NetJSON"/>
    <tableColumn id="15" name="Jackson"/>
    <tableColumn id="6" name="DSL Platform Java" totalsRowFunction="custom">
      <totalsRowFormula>AverageNumbers[](Table98[DSL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8" name="Table18" displayName="Table18" ref="B67:M72">
  <autoFilter ref="B67:M72"/>
  <tableColumns count="12">
    <tableColumn id="2" name="Newtonsoft" totalsRowFunction="custom">
      <totalsRowFormula>AverageNumbers[](Table18[Newtonsoft])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AverageNumbers[](Table18[Jil])</totalsRowFormula>
    </tableColumn>
    <tableColumn id="10" name="NetJSON"/>
    <tableColumn id="15" name="Jackson"/>
    <tableColumn id="6" name="DSL Platform Java" totalsRowFunction="custom">
      <totalsRowFormula>AverageNumbers[](Table18[DSL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97" name="Table97" displayName="Table97" ref="B51:M56">
  <autoFilter ref="B51:M56"/>
  <tableColumns count="12">
    <tableColumn id="2" name="Newtonsoft" totalsRowFunction="custom">
      <totalsRowFormula>AverageNumbers[](Table97[Newtonsoft])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AverageNumbers[](Table97[Jil])</totalsRowFormula>
    </tableColumn>
    <tableColumn id="10" name="NetJSON"/>
    <tableColumn id="15" name="Jackson"/>
    <tableColumn id="6" name="DSL Platform Java" totalsRowFunction="custom">
      <totalsRowFormula>AverageNumbers[](Table97[DSL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0.xml"/><Relationship Id="rId3" Type="http://schemas.openxmlformats.org/officeDocument/2006/relationships/vmlDrawing" Target="../drawings/vmlDrawing3.vml"/><Relationship Id="rId7" Type="http://schemas.openxmlformats.org/officeDocument/2006/relationships/table" Target="../tables/table4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48.xml"/><Relationship Id="rId5" Type="http://schemas.openxmlformats.org/officeDocument/2006/relationships/table" Target="../tables/table47.xml"/><Relationship Id="rId4" Type="http://schemas.openxmlformats.org/officeDocument/2006/relationships/table" Target="../tables/table46.xml"/><Relationship Id="rId9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5.xml"/><Relationship Id="rId3" Type="http://schemas.openxmlformats.org/officeDocument/2006/relationships/vmlDrawing" Target="../drawings/vmlDrawing4.vml"/><Relationship Id="rId7" Type="http://schemas.openxmlformats.org/officeDocument/2006/relationships/table" Target="../tables/table5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53.xml"/><Relationship Id="rId5" Type="http://schemas.openxmlformats.org/officeDocument/2006/relationships/table" Target="../tables/table52.xml"/><Relationship Id="rId4" Type="http://schemas.openxmlformats.org/officeDocument/2006/relationships/table" Target="../tables/table51.xml"/><Relationship Id="rId9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0.xml"/><Relationship Id="rId3" Type="http://schemas.openxmlformats.org/officeDocument/2006/relationships/vmlDrawing" Target="../drawings/vmlDrawing5.vml"/><Relationship Id="rId7" Type="http://schemas.openxmlformats.org/officeDocument/2006/relationships/table" Target="../tables/table59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58.xml"/><Relationship Id="rId5" Type="http://schemas.openxmlformats.org/officeDocument/2006/relationships/table" Target="../tables/table57.xml"/><Relationship Id="rId4" Type="http://schemas.openxmlformats.org/officeDocument/2006/relationships/table" Target="../tables/table56.xml"/><Relationship Id="rId9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5.xml"/><Relationship Id="rId3" Type="http://schemas.openxmlformats.org/officeDocument/2006/relationships/vmlDrawing" Target="../drawings/vmlDrawing6.vml"/><Relationship Id="rId7" Type="http://schemas.openxmlformats.org/officeDocument/2006/relationships/table" Target="../tables/table64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63.xml"/><Relationship Id="rId5" Type="http://schemas.openxmlformats.org/officeDocument/2006/relationships/table" Target="../tables/table62.xml"/><Relationship Id="rId4" Type="http://schemas.openxmlformats.org/officeDocument/2006/relationships/table" Target="../tables/table61.xml"/><Relationship Id="rId9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0.xml"/><Relationship Id="rId3" Type="http://schemas.openxmlformats.org/officeDocument/2006/relationships/vmlDrawing" Target="../drawings/vmlDrawing7.vml"/><Relationship Id="rId7" Type="http://schemas.openxmlformats.org/officeDocument/2006/relationships/table" Target="../tables/table69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68.xml"/><Relationship Id="rId5" Type="http://schemas.openxmlformats.org/officeDocument/2006/relationships/table" Target="../tables/table67.xml"/><Relationship Id="rId4" Type="http://schemas.openxmlformats.org/officeDocument/2006/relationships/table" Target="../tables/table66.xml"/><Relationship Id="rId9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5.xml"/><Relationship Id="rId3" Type="http://schemas.openxmlformats.org/officeDocument/2006/relationships/vmlDrawing" Target="../drawings/vmlDrawing8.vml"/><Relationship Id="rId7" Type="http://schemas.openxmlformats.org/officeDocument/2006/relationships/table" Target="../tables/table74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73.xml"/><Relationship Id="rId5" Type="http://schemas.openxmlformats.org/officeDocument/2006/relationships/table" Target="../tables/table72.xml"/><Relationship Id="rId4" Type="http://schemas.openxmlformats.org/officeDocument/2006/relationships/table" Target="../tables/table71.xml"/><Relationship Id="rId9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0.xml"/><Relationship Id="rId3" Type="http://schemas.openxmlformats.org/officeDocument/2006/relationships/vmlDrawing" Target="../drawings/vmlDrawing9.vml"/><Relationship Id="rId7" Type="http://schemas.openxmlformats.org/officeDocument/2006/relationships/table" Target="../tables/table79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table" Target="../tables/table78.xml"/><Relationship Id="rId5" Type="http://schemas.openxmlformats.org/officeDocument/2006/relationships/table" Target="../tables/table77.xml"/><Relationship Id="rId4" Type="http://schemas.openxmlformats.org/officeDocument/2006/relationships/table" Target="../tables/table76.xml"/><Relationship Id="rId9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5.xml"/><Relationship Id="rId3" Type="http://schemas.openxmlformats.org/officeDocument/2006/relationships/vmlDrawing" Target="../drawings/vmlDrawing10.vml"/><Relationship Id="rId7" Type="http://schemas.openxmlformats.org/officeDocument/2006/relationships/table" Target="../tables/table84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table" Target="../tables/table83.xml"/><Relationship Id="rId5" Type="http://schemas.openxmlformats.org/officeDocument/2006/relationships/table" Target="../tables/table82.xml"/><Relationship Id="rId4" Type="http://schemas.openxmlformats.org/officeDocument/2006/relationships/table" Target="../tables/table81.xml"/><Relationship Id="rId9" Type="http://schemas.openxmlformats.org/officeDocument/2006/relationships/comments" Target="../comments1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0.xml"/><Relationship Id="rId3" Type="http://schemas.openxmlformats.org/officeDocument/2006/relationships/vmlDrawing" Target="../drawings/vmlDrawing11.vml"/><Relationship Id="rId7" Type="http://schemas.openxmlformats.org/officeDocument/2006/relationships/table" Target="../tables/table89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table" Target="../tables/table88.xml"/><Relationship Id="rId5" Type="http://schemas.openxmlformats.org/officeDocument/2006/relationships/table" Target="../tables/table87.xml"/><Relationship Id="rId4" Type="http://schemas.openxmlformats.org/officeDocument/2006/relationships/table" Target="../tables/table86.xml"/><Relationship Id="rId9" Type="http://schemas.openxmlformats.org/officeDocument/2006/relationships/comments" Target="../comments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7" Type="http://schemas.openxmlformats.org/officeDocument/2006/relationships/table" Target="../tables/table2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3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8.xml"/><Relationship Id="rId5" Type="http://schemas.openxmlformats.org/officeDocument/2006/relationships/table" Target="../tables/table37.xml"/><Relationship Id="rId4" Type="http://schemas.openxmlformats.org/officeDocument/2006/relationships/table" Target="../tables/table36.xml"/><Relationship Id="rId9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5.xml"/><Relationship Id="rId3" Type="http://schemas.openxmlformats.org/officeDocument/2006/relationships/vmlDrawing" Target="../drawings/vmlDrawing2.vml"/><Relationship Id="rId7" Type="http://schemas.openxmlformats.org/officeDocument/2006/relationships/table" Target="../tables/table4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43.xml"/><Relationship Id="rId5" Type="http://schemas.openxmlformats.org/officeDocument/2006/relationships/table" Target="../tables/table42.xml"/><Relationship Id="rId4" Type="http://schemas.openxmlformats.org/officeDocument/2006/relationships/table" Target="../tables/table41.x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2"/>
  <sheetViews>
    <sheetView tabSelected="1"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35</v>
      </c>
    </row>
    <row r="37" spans="2:17" x14ac:dyDescent="0.25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AVERAGE(Instance[Newtonsoft])</f>
        <v>27</v>
      </c>
      <c r="D38" s="2">
        <f>AVERAGE(Instance[Revenj])</f>
        <v>27.2</v>
      </c>
      <c r="E38" s="2">
        <f>AVERAGE(Instance[fastJSON])</f>
        <v>27</v>
      </c>
      <c r="F38" s="2">
        <f>AVERAGE(Instance[Service Stack])</f>
        <v>27</v>
      </c>
      <c r="G38" s="2">
        <f>AVERAGE(Instance[Jil])</f>
        <v>27</v>
      </c>
      <c r="H38" s="2">
        <f>AVERAGE(Instance[NetJSON])</f>
        <v>27</v>
      </c>
      <c r="I38" s="2">
        <f>AVERAGE(Instance[Jackson])</f>
        <v>1</v>
      </c>
      <c r="J38" s="2">
        <f>AVERAGE(Instance[DSL Platform Java])</f>
        <v>1</v>
      </c>
      <c r="K38" s="2">
        <f>AVERAGE(Instance[Genson])</f>
        <v>1</v>
      </c>
      <c r="L38" s="2">
        <f>AVERAGE(Instance[Boon])</f>
        <v>1</v>
      </c>
      <c r="M38" s="2">
        <f>AVERAGE(Instance[Alibaba])</f>
        <v>1</v>
      </c>
      <c r="N38" s="2">
        <f>AVERAGE(Instance[Gson])</f>
        <v>1</v>
      </c>
      <c r="O38" s="2"/>
      <c r="P38" s="2"/>
      <c r="Q38" s="2"/>
    </row>
    <row r="39" spans="2:17" x14ac:dyDescent="0.25">
      <c r="B39" t="s">
        <v>0</v>
      </c>
      <c r="C39" s="2">
        <f>AVERAGE(Serialization[Newtonsoft]) - C38</f>
        <v>231.2</v>
      </c>
      <c r="D39" s="2">
        <f>AVERAGE(Serialization[Revenj]) - D38</f>
        <v>9.5999999999999979</v>
      </c>
      <c r="E39" s="2">
        <f>AVERAGE(Serialization[fastJSON]) - E38</f>
        <v>37</v>
      </c>
      <c r="F39" s="2">
        <f>AVERAGE(Serialization[Service Stack]) - F38</f>
        <v>127.80000000000001</v>
      </c>
      <c r="G39" s="2">
        <f>AVERAGE(Serialization[Jil]) - G38</f>
        <v>544.79999999999995</v>
      </c>
      <c r="H39" s="2">
        <f>AVERAGE(Serialization[NetJSON]) - H38</f>
        <v>229.8</v>
      </c>
      <c r="I39" s="2">
        <f>AVERAGE(Serialization[Jackson]) - I38</f>
        <v>66</v>
      </c>
      <c r="J39" s="2">
        <f>AVERAGE(Serialization[DSL Platform Java]) - J38</f>
        <v>0</v>
      </c>
      <c r="K39" s="2">
        <f>AVERAGE(Serialization[Genson]) - K38</f>
        <v>45</v>
      </c>
      <c r="L39" s="2">
        <f>AVERAGE(Serialization[Boon]) - L38</f>
        <v>62</v>
      </c>
      <c r="M39" s="2">
        <f>AVERAGE(Serialization[Alibaba]) - M38</f>
        <v>108</v>
      </c>
      <c r="N39" s="2">
        <f>AVERAGE(Serialization[Gson]) - N38</f>
        <v>22.2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102.19999999999999</v>
      </c>
      <c r="D40" s="2">
        <f t="shared" si="0"/>
        <v>30.600000000000012</v>
      </c>
      <c r="E40" s="2">
        <f t="shared" ref="E40" si="1">E41 - E39 - E38</f>
        <v>44</v>
      </c>
      <c r="F40" s="2">
        <f t="shared" si="0"/>
        <v>70.799999999999983</v>
      </c>
      <c r="G40" s="2">
        <f t="shared" si="0"/>
        <v>209.60000000000002</v>
      </c>
      <c r="H40" s="2">
        <f t="shared" si="0"/>
        <v>6.1999999999999886</v>
      </c>
      <c r="I40" s="2">
        <f t="shared" ref="I40" si="2">I41 - I39 - I38</f>
        <v>35</v>
      </c>
      <c r="J40" s="2">
        <f t="shared" ref="J40" si="3">J41 - J39 - J38</f>
        <v>1</v>
      </c>
      <c r="K40" s="2">
        <f t="shared" ref="K40:L40" si="4">K41 - K39 - K38</f>
        <v>4</v>
      </c>
      <c r="L40" s="2">
        <f t="shared" si="4"/>
        <v>29</v>
      </c>
      <c r="M40" s="2">
        <f t="shared" ref="M40" si="5">M41 - M39 - M38</f>
        <v>19.599999999999994</v>
      </c>
      <c r="N40" s="2">
        <f t="shared" ref="N40" si="6">N41 - N39 - N38</f>
        <v>2.8000000000000007</v>
      </c>
      <c r="O40" s="2"/>
      <c r="P40" s="2"/>
      <c r="Q40" s="2"/>
    </row>
    <row r="41" spans="2:17" x14ac:dyDescent="0.25">
      <c r="B41" t="s">
        <v>25</v>
      </c>
      <c r="C41" s="2">
        <f>AVERAGE(Both[Newtonsoft])</f>
        <v>360.4</v>
      </c>
      <c r="D41" s="2">
        <f>AVERAGE(Both[Revenj])</f>
        <v>67.400000000000006</v>
      </c>
      <c r="E41" s="2">
        <f>AVERAGE(Both[fastJSON])</f>
        <v>108</v>
      </c>
      <c r="F41" s="2">
        <f>AVERAGE(Both[Service Stack])</f>
        <v>225.6</v>
      </c>
      <c r="G41" s="2">
        <f>AVERAGE(Both[Jil])</f>
        <v>781.4</v>
      </c>
      <c r="H41" s="2">
        <f>AVERAGE(Both[NetJSON])</f>
        <v>263</v>
      </c>
      <c r="I41" s="2">
        <f>AVERAGE(Both[Jackson])</f>
        <v>102</v>
      </c>
      <c r="J41" s="2">
        <f>AVERAGE(Both[DSL Platform Java])</f>
        <v>2</v>
      </c>
      <c r="K41" s="2">
        <f>AVERAGE(Both[Genson])</f>
        <v>50</v>
      </c>
      <c r="L41" s="2">
        <f>AVERAGE(Both[Boon])</f>
        <v>92</v>
      </c>
      <c r="M41" s="2">
        <f>AVERAGE(Both[Alibaba])</f>
        <v>128.6</v>
      </c>
      <c r="N41" s="2">
        <f>AVERAGE(Both[Gson])</f>
        <v>26</v>
      </c>
      <c r="O41" s="2"/>
      <c r="P41" s="2"/>
      <c r="Q41" s="2"/>
    </row>
    <row r="42" spans="2:17" x14ac:dyDescent="0.25">
      <c r="B42" t="s">
        <v>4</v>
      </c>
      <c r="C42" s="3">
        <f>AVERAGE(Serialization[Newtonsoft (size)])</f>
        <v>40</v>
      </c>
      <c r="D42" s="3">
        <f>AVERAGE(Serialization[Revenj (size)])</f>
        <v>28</v>
      </c>
      <c r="E42" s="3">
        <f>AVERAGE(Serialization[fastJSON (size)])</f>
        <v>40</v>
      </c>
      <c r="F42" s="3">
        <f>AVERAGE(Serialization[Service Stack (size)])</f>
        <v>40</v>
      </c>
      <c r="G42" s="2">
        <f>AVERAGE(Serialization[Jil (size)])</f>
        <v>40</v>
      </c>
      <c r="H42" s="2">
        <f>AVERAGE(Serialization[NetJSON (size)])</f>
        <v>28</v>
      </c>
      <c r="I42" s="2">
        <f>AVERAGE(Serialization[Jackson (size)])</f>
        <v>28</v>
      </c>
      <c r="J42" s="2">
        <f>AVERAGE(Serialization[DSL Platform Java (size)])</f>
        <v>28</v>
      </c>
      <c r="K42" s="2">
        <f>AVERAGE(Serialization[Genson (size)])</f>
        <v>40</v>
      </c>
      <c r="L42" s="2">
        <f>AVERAGE(Serialization[Boon (size)])</f>
        <v>28</v>
      </c>
      <c r="M42" s="2">
        <f>AVERAGE(Serialization[Alibaba (size)])</f>
        <v>40</v>
      </c>
      <c r="N42" s="2">
        <f>AVERAGE(Serialization[Gson (size)])</f>
        <v>40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DEVSQ(Serialization[Newtonsoft])</f>
        <v>0.80000000000000016</v>
      </c>
      <c r="D47" s="2">
        <f>DEVSQ(Serialization[Revenj])</f>
        <v>0.8</v>
      </c>
      <c r="E47" s="2">
        <f>DEVSQ(Serialization[fastJSON])</f>
        <v>0</v>
      </c>
      <c r="F47" s="2">
        <f>DEVSQ(Serialization[Service Stack])</f>
        <v>0.8</v>
      </c>
      <c r="G47" s="2">
        <f>DEVSQ(Serialization[Jil])</f>
        <v>0.8</v>
      </c>
      <c r="H47" s="2">
        <f>DEVSQ(Serialization[NetJSON])</f>
        <v>0.80000000000000016</v>
      </c>
      <c r="I47" s="2">
        <f>DEVSQ(Serialization[Jackson])</f>
        <v>0</v>
      </c>
      <c r="J47" s="2">
        <f>DEVSQ(Serialization[DSL Platform Java])</f>
        <v>0</v>
      </c>
      <c r="K47" s="2">
        <f>DEVSQ(Serialization[Genson])</f>
        <v>0</v>
      </c>
      <c r="L47" s="2">
        <f>DEVSQ(Serialization[Boon])</f>
        <v>8</v>
      </c>
      <c r="M47" s="2">
        <f>DEVSQ(Serialization[Alibaba])</f>
        <v>2</v>
      </c>
      <c r="N47" s="2">
        <f>DEVSQ(Serialization[Gson])</f>
        <v>0.79999999999999993</v>
      </c>
      <c r="O47" s="2"/>
      <c r="P47" s="2"/>
      <c r="Q47" s="2"/>
    </row>
    <row r="48" spans="2:17" x14ac:dyDescent="0.25">
      <c r="B48" t="s">
        <v>25</v>
      </c>
      <c r="C48" s="2">
        <f>DEVSQ(Both[Newtonsoft])</f>
        <v>1.2000000000000002</v>
      </c>
      <c r="D48" s="2">
        <f>DEVSQ(Both[Revenj])</f>
        <v>1.2</v>
      </c>
      <c r="E48" s="2">
        <f>DEVSQ(Both[fastJSON])</f>
        <v>0</v>
      </c>
      <c r="F48" s="2">
        <f>DEVSQ(Both[Service Stack])</f>
        <v>1.2</v>
      </c>
      <c r="G48" s="2">
        <f>DEVSQ(Both[Jil])</f>
        <v>9.1999999999999993</v>
      </c>
      <c r="H48" s="2">
        <f>DEVSQ(Both[NetJSON])</f>
        <v>0</v>
      </c>
      <c r="I48" s="2">
        <f>DEVSQ(Both[Jackson])</f>
        <v>0</v>
      </c>
      <c r="J48" s="2">
        <f>DEVSQ(Both[DSL Platform Java])</f>
        <v>0</v>
      </c>
      <c r="K48" s="2">
        <f>DEVSQ(Both[Genson])</f>
        <v>0</v>
      </c>
      <c r="L48" s="2">
        <f>DEVSQ(Both[Boon])</f>
        <v>0</v>
      </c>
      <c r="M48" s="2">
        <f>DEVSQ(Both[Alibaba])</f>
        <v>1.2</v>
      </c>
      <c r="N48" s="2">
        <f>DEVSQ(Both[Gson])</f>
        <v>0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27</v>
      </c>
      <c r="C52">
        <v>27</v>
      </c>
      <c r="D52">
        <v>27</v>
      </c>
      <c r="E52">
        <v>27</v>
      </c>
      <c r="F52">
        <v>27</v>
      </c>
      <c r="G52">
        <v>27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2:25" x14ac:dyDescent="0.25">
      <c r="B53">
        <v>27</v>
      </c>
      <c r="C53">
        <v>27</v>
      </c>
      <c r="D53">
        <v>27</v>
      </c>
      <c r="E53">
        <v>27</v>
      </c>
      <c r="F53">
        <v>27</v>
      </c>
      <c r="G53">
        <v>27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</row>
    <row r="54" spans="2:25" x14ac:dyDescent="0.25">
      <c r="B54">
        <v>27</v>
      </c>
      <c r="C54">
        <v>27</v>
      </c>
      <c r="D54">
        <v>27</v>
      </c>
      <c r="E54">
        <v>27</v>
      </c>
      <c r="F54">
        <v>27</v>
      </c>
      <c r="G54">
        <v>27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</row>
    <row r="55" spans="2:25" x14ac:dyDescent="0.25">
      <c r="B55">
        <v>27</v>
      </c>
      <c r="C55">
        <v>27</v>
      </c>
      <c r="D55">
        <v>27</v>
      </c>
      <c r="E55">
        <v>27</v>
      </c>
      <c r="F55">
        <v>27</v>
      </c>
      <c r="G55">
        <v>27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</row>
    <row r="56" spans="2:25" x14ac:dyDescent="0.25">
      <c r="B56">
        <v>27</v>
      </c>
      <c r="C56">
        <v>28</v>
      </c>
      <c r="D56">
        <v>27</v>
      </c>
      <c r="E56">
        <v>27</v>
      </c>
      <c r="F56">
        <v>27</v>
      </c>
      <c r="G56">
        <v>27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259</v>
      </c>
      <c r="C60">
        <v>37</v>
      </c>
      <c r="D60">
        <v>64</v>
      </c>
      <c r="E60">
        <v>155</v>
      </c>
      <c r="F60">
        <v>572</v>
      </c>
      <c r="G60">
        <v>257</v>
      </c>
      <c r="H60">
        <v>67</v>
      </c>
      <c r="I60">
        <v>1</v>
      </c>
      <c r="J60">
        <v>46</v>
      </c>
      <c r="K60">
        <v>65</v>
      </c>
      <c r="L60">
        <v>110</v>
      </c>
      <c r="M60">
        <v>24</v>
      </c>
      <c r="N60">
        <v>40</v>
      </c>
      <c r="O60">
        <v>28</v>
      </c>
      <c r="P60">
        <v>40</v>
      </c>
      <c r="Q60">
        <v>40</v>
      </c>
      <c r="R60">
        <v>40</v>
      </c>
      <c r="S60">
        <v>28</v>
      </c>
      <c r="T60">
        <v>28</v>
      </c>
      <c r="U60">
        <v>28</v>
      </c>
      <c r="V60">
        <v>40</v>
      </c>
      <c r="W60">
        <v>28</v>
      </c>
      <c r="X60">
        <v>40</v>
      </c>
      <c r="Y60">
        <v>40</v>
      </c>
    </row>
    <row r="61" spans="2:25" x14ac:dyDescent="0.25">
      <c r="B61">
        <v>258</v>
      </c>
      <c r="C61">
        <v>37</v>
      </c>
      <c r="D61">
        <v>64</v>
      </c>
      <c r="E61">
        <v>155</v>
      </c>
      <c r="F61">
        <v>572</v>
      </c>
      <c r="G61">
        <v>256</v>
      </c>
      <c r="H61">
        <v>67</v>
      </c>
      <c r="I61">
        <v>1</v>
      </c>
      <c r="J61">
        <v>46</v>
      </c>
      <c r="K61">
        <v>62</v>
      </c>
      <c r="L61">
        <v>108</v>
      </c>
      <c r="M61">
        <v>23</v>
      </c>
      <c r="N61">
        <v>40</v>
      </c>
      <c r="O61">
        <v>28</v>
      </c>
      <c r="P61">
        <v>40</v>
      </c>
      <c r="Q61">
        <v>40</v>
      </c>
      <c r="R61">
        <v>40</v>
      </c>
      <c r="S61">
        <v>28</v>
      </c>
      <c r="T61">
        <v>28</v>
      </c>
      <c r="U61">
        <v>28</v>
      </c>
      <c r="V61">
        <v>40</v>
      </c>
      <c r="W61">
        <v>28</v>
      </c>
      <c r="X61">
        <v>40</v>
      </c>
      <c r="Y61">
        <v>40</v>
      </c>
    </row>
    <row r="62" spans="2:25" x14ac:dyDescent="0.25">
      <c r="B62">
        <v>258</v>
      </c>
      <c r="C62">
        <v>36</v>
      </c>
      <c r="D62">
        <v>64</v>
      </c>
      <c r="E62">
        <v>155</v>
      </c>
      <c r="F62">
        <v>572</v>
      </c>
      <c r="G62">
        <v>257</v>
      </c>
      <c r="H62">
        <v>67</v>
      </c>
      <c r="I62">
        <v>1</v>
      </c>
      <c r="J62">
        <v>46</v>
      </c>
      <c r="K62">
        <v>64</v>
      </c>
      <c r="L62">
        <v>109</v>
      </c>
      <c r="M62">
        <v>23</v>
      </c>
      <c r="N62">
        <v>40</v>
      </c>
      <c r="O62">
        <v>28</v>
      </c>
      <c r="P62">
        <v>40</v>
      </c>
      <c r="Q62">
        <v>40</v>
      </c>
      <c r="R62">
        <v>40</v>
      </c>
      <c r="S62">
        <v>28</v>
      </c>
      <c r="T62">
        <v>28</v>
      </c>
      <c r="U62">
        <v>28</v>
      </c>
      <c r="V62">
        <v>40</v>
      </c>
      <c r="W62">
        <v>28</v>
      </c>
      <c r="X62">
        <v>40</v>
      </c>
      <c r="Y62">
        <v>40</v>
      </c>
    </row>
    <row r="63" spans="2:25" x14ac:dyDescent="0.25">
      <c r="B63">
        <v>258</v>
      </c>
      <c r="C63">
        <v>37</v>
      </c>
      <c r="D63">
        <v>64</v>
      </c>
      <c r="E63">
        <v>155</v>
      </c>
      <c r="F63">
        <v>571</v>
      </c>
      <c r="G63">
        <v>257</v>
      </c>
      <c r="H63">
        <v>67</v>
      </c>
      <c r="I63">
        <v>1</v>
      </c>
      <c r="J63">
        <v>46</v>
      </c>
      <c r="K63">
        <v>62</v>
      </c>
      <c r="L63">
        <v>109</v>
      </c>
      <c r="M63">
        <v>23</v>
      </c>
      <c r="N63">
        <v>40</v>
      </c>
      <c r="O63">
        <v>28</v>
      </c>
      <c r="P63">
        <v>40</v>
      </c>
      <c r="Q63">
        <v>40</v>
      </c>
      <c r="R63">
        <v>40</v>
      </c>
      <c r="S63">
        <v>28</v>
      </c>
      <c r="T63">
        <v>28</v>
      </c>
      <c r="U63">
        <v>28</v>
      </c>
      <c r="V63">
        <v>40</v>
      </c>
      <c r="W63">
        <v>28</v>
      </c>
      <c r="X63">
        <v>40</v>
      </c>
      <c r="Y63">
        <v>40</v>
      </c>
    </row>
    <row r="64" spans="2:25" x14ac:dyDescent="0.25">
      <c r="B64">
        <v>258</v>
      </c>
      <c r="C64">
        <v>37</v>
      </c>
      <c r="D64">
        <v>64</v>
      </c>
      <c r="E64">
        <v>154</v>
      </c>
      <c r="F64">
        <v>572</v>
      </c>
      <c r="G64">
        <v>257</v>
      </c>
      <c r="H64">
        <v>67</v>
      </c>
      <c r="I64">
        <v>1</v>
      </c>
      <c r="J64">
        <v>46</v>
      </c>
      <c r="K64">
        <v>62</v>
      </c>
      <c r="L64">
        <v>109</v>
      </c>
      <c r="M64">
        <v>23</v>
      </c>
      <c r="N64">
        <v>40</v>
      </c>
      <c r="O64">
        <v>28</v>
      </c>
      <c r="P64">
        <v>40</v>
      </c>
      <c r="Q64">
        <v>40</v>
      </c>
      <c r="R64">
        <v>40</v>
      </c>
      <c r="S64">
        <v>28</v>
      </c>
      <c r="T64">
        <v>28</v>
      </c>
      <c r="U64">
        <v>28</v>
      </c>
      <c r="V64">
        <v>40</v>
      </c>
      <c r="W64">
        <v>28</v>
      </c>
      <c r="X64">
        <v>40</v>
      </c>
      <c r="Y64">
        <v>40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360</v>
      </c>
      <c r="C68">
        <v>68</v>
      </c>
      <c r="D68">
        <v>108</v>
      </c>
      <c r="E68">
        <v>225</v>
      </c>
      <c r="F68">
        <v>781</v>
      </c>
      <c r="G68">
        <v>263</v>
      </c>
      <c r="H68">
        <v>102</v>
      </c>
      <c r="I68">
        <v>2</v>
      </c>
      <c r="J68">
        <v>50</v>
      </c>
      <c r="K68">
        <v>92</v>
      </c>
      <c r="L68">
        <v>129</v>
      </c>
      <c r="M68">
        <v>26</v>
      </c>
    </row>
    <row r="69" spans="2:13" x14ac:dyDescent="0.25">
      <c r="B69">
        <v>360</v>
      </c>
      <c r="C69">
        <v>67</v>
      </c>
      <c r="D69">
        <v>108</v>
      </c>
      <c r="E69">
        <v>226</v>
      </c>
      <c r="F69">
        <v>781</v>
      </c>
      <c r="G69">
        <v>263</v>
      </c>
      <c r="H69">
        <v>102</v>
      </c>
      <c r="I69">
        <v>2</v>
      </c>
      <c r="J69">
        <v>50</v>
      </c>
      <c r="K69">
        <v>92</v>
      </c>
      <c r="L69">
        <v>129</v>
      </c>
      <c r="M69">
        <v>26</v>
      </c>
    </row>
    <row r="70" spans="2:13" x14ac:dyDescent="0.25">
      <c r="B70">
        <v>361</v>
      </c>
      <c r="C70">
        <v>67</v>
      </c>
      <c r="D70">
        <v>108</v>
      </c>
      <c r="E70">
        <v>226</v>
      </c>
      <c r="F70">
        <v>780</v>
      </c>
      <c r="G70">
        <v>263</v>
      </c>
      <c r="H70">
        <v>102</v>
      </c>
      <c r="I70">
        <v>2</v>
      </c>
      <c r="J70">
        <v>50</v>
      </c>
      <c r="K70">
        <v>92</v>
      </c>
      <c r="L70">
        <v>129</v>
      </c>
      <c r="M70">
        <v>26</v>
      </c>
    </row>
    <row r="71" spans="2:13" x14ac:dyDescent="0.25">
      <c r="B71">
        <v>360</v>
      </c>
      <c r="C71">
        <v>67</v>
      </c>
      <c r="D71">
        <v>108</v>
      </c>
      <c r="E71">
        <v>225</v>
      </c>
      <c r="F71">
        <v>781</v>
      </c>
      <c r="G71">
        <v>263</v>
      </c>
      <c r="H71">
        <v>102</v>
      </c>
      <c r="I71">
        <v>2</v>
      </c>
      <c r="J71">
        <v>50</v>
      </c>
      <c r="K71">
        <v>92</v>
      </c>
      <c r="L71">
        <v>128</v>
      </c>
      <c r="M71">
        <v>26</v>
      </c>
    </row>
    <row r="72" spans="2:13" x14ac:dyDescent="0.25">
      <c r="B72">
        <v>361</v>
      </c>
      <c r="C72">
        <v>68</v>
      </c>
      <c r="D72">
        <v>108</v>
      </c>
      <c r="E72">
        <v>226</v>
      </c>
      <c r="F72">
        <v>784</v>
      </c>
      <c r="G72">
        <v>263</v>
      </c>
      <c r="H72">
        <v>102</v>
      </c>
      <c r="I72">
        <v>2</v>
      </c>
      <c r="J72">
        <v>50</v>
      </c>
      <c r="K72">
        <v>92</v>
      </c>
      <c r="L72">
        <v>128</v>
      </c>
      <c r="M72">
        <v>26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72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44</v>
      </c>
    </row>
    <row r="37" spans="2:17" x14ac:dyDescent="0.25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AVERAGE(Table57[Newtonsoft])</f>
        <v>7874.2</v>
      </c>
      <c r="D38" s="2">
        <f>AVERAGE(Table57[Revenj])</f>
        <v>8091</v>
      </c>
      <c r="E38" s="2">
        <f>AVERAGE(Table57[fastJSON])</f>
        <v>7957</v>
      </c>
      <c r="F38" s="2">
        <f>AVERAGE(Table57[Service Stack])</f>
        <v>7821.2</v>
      </c>
      <c r="G38" s="2">
        <f>AVERAGE(Table57[Jil])</f>
        <v>7841.4</v>
      </c>
      <c r="H38" s="2">
        <f>AVERAGE(Table57[NetJSON])</f>
        <v>7876</v>
      </c>
      <c r="I38" s="2">
        <f>AVERAGE(Table57[Jackson])</f>
        <v>5284.6</v>
      </c>
      <c r="J38" s="2">
        <f>AVERAGE(Table57[DSL Platform Java])</f>
        <v>5250</v>
      </c>
      <c r="K38" s="2">
        <f>AVERAGE(Table57[Genson])</f>
        <v>5294.6</v>
      </c>
      <c r="L38" s="2">
        <f>AVERAGE(Table57[Boon])</f>
        <v>5315.4</v>
      </c>
      <c r="M38" s="2">
        <f>AVERAGE(Table57[Alibaba])</f>
        <v>5335.4</v>
      </c>
      <c r="N38" s="2">
        <f>AVERAGE(Table57[Gson])</f>
        <v>5308.6</v>
      </c>
      <c r="O38" s="2"/>
      <c r="P38" s="2"/>
      <c r="Q38" s="2"/>
    </row>
    <row r="39" spans="2:17" x14ac:dyDescent="0.25">
      <c r="B39" t="s">
        <v>0</v>
      </c>
      <c r="C39" s="2">
        <f>AVERAGE(Table56[Newtonsoft]) - C38</f>
        <v>29905.399999999998</v>
      </c>
      <c r="D39" s="2">
        <f>AVERAGE(Table56[Revenj]) - D38</f>
        <v>10405.799999999999</v>
      </c>
      <c r="E39" s="2">
        <f>AVERAGE(Table56[fastJSON]) - E38</f>
        <v>34277.800000000003</v>
      </c>
      <c r="F39" s="2">
        <f>AVERAGE(Table56[Service Stack]) - F38</f>
        <v>45947.600000000006</v>
      </c>
      <c r="G39" s="2">
        <f>AVERAGE(Table56[Jil]) - G38</f>
        <v>17507.800000000003</v>
      </c>
      <c r="H39" s="2">
        <f>AVERAGE(Table56[NetJSON]) - H38</f>
        <v>17112.599999999999</v>
      </c>
      <c r="I39" s="2">
        <f>AVERAGE(Table56[Jackson]) - I38</f>
        <v>13007.4</v>
      </c>
      <c r="J39" s="2">
        <f>AVERAGE(Table56[DSL Platform Java]) - J38</f>
        <v>2769.6000000000004</v>
      </c>
      <c r="K39" s="2">
        <f>AVERAGE(Table56[Genson]) - K38</f>
        <v>47228.4</v>
      </c>
      <c r="L39" s="2">
        <f>AVERAGE(Table56[Boon]) - L38</f>
        <v>19103.599999999999</v>
      </c>
      <c r="M39" s="4" t="s">
        <v>53</v>
      </c>
      <c r="N39" s="2">
        <f>AVERAGE(Table56[Gson]) - N38</f>
        <v>28998.400000000001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80149.000000000015</v>
      </c>
      <c r="D40" s="2">
        <f t="shared" si="0"/>
        <v>20134.399999999998</v>
      </c>
      <c r="E40" s="2">
        <f t="shared" ref="E40" si="1">E41 - E39 - E38</f>
        <v>71904.399999999994</v>
      </c>
      <c r="F40" s="2">
        <f t="shared" si="0"/>
        <v>75108</v>
      </c>
      <c r="G40" s="2">
        <f t="shared" si="0"/>
        <v>30611.999999999993</v>
      </c>
      <c r="H40" s="2">
        <f t="shared" si="0"/>
        <v>31543.599999999999</v>
      </c>
      <c r="I40" s="2">
        <f t="shared" ref="I40" si="2">I41 - I39 - I38</f>
        <v>25754.400000000001</v>
      </c>
      <c r="J40" s="2">
        <f t="shared" ref="J40" si="3">J41 - J39 - J38</f>
        <v>4873.6000000000004</v>
      </c>
      <c r="K40" s="2">
        <f t="shared" ref="K40:L40" si="4">K41 - K39 - K38</f>
        <v>44872.2</v>
      </c>
      <c r="L40" s="2" t="e">
        <f t="shared" si="4"/>
        <v>#DIV/0!</v>
      </c>
      <c r="M40" s="2" t="e">
        <f t="shared" ref="M40" si="5">M41 - M39 - M38</f>
        <v>#VALUE!</v>
      </c>
      <c r="N40" s="2">
        <f t="shared" ref="N40" si="6">N41 - N39 - N38</f>
        <v>55605.2</v>
      </c>
      <c r="O40" s="2"/>
      <c r="P40" s="2"/>
      <c r="Q40" s="2"/>
    </row>
    <row r="41" spans="2:17" x14ac:dyDescent="0.25">
      <c r="B41" t="s">
        <v>25</v>
      </c>
      <c r="C41" s="2">
        <f>AVERAGE(Table58[Newtonsoft])</f>
        <v>117928.6</v>
      </c>
      <c r="D41" s="2">
        <f>AVERAGE(Table58[Revenj])</f>
        <v>38631.199999999997</v>
      </c>
      <c r="E41" s="2">
        <f>AVERAGE(Table58[fastJSON])</f>
        <v>114139.2</v>
      </c>
      <c r="F41" s="2">
        <f>AVERAGE(Table58[Service Stack])</f>
        <v>128876.8</v>
      </c>
      <c r="G41" s="2">
        <f>AVERAGE(Table58[Jil])</f>
        <v>55961.2</v>
      </c>
      <c r="H41" s="2">
        <f>AVERAGE(Table58[NetJSON])</f>
        <v>56532.2</v>
      </c>
      <c r="I41" s="2">
        <f>AVERAGE(Table58[Jackson])</f>
        <v>44046.400000000001</v>
      </c>
      <c r="J41" s="2">
        <f>AVERAGE(Table58[DSL Platform Java])</f>
        <v>12893.2</v>
      </c>
      <c r="K41" s="2">
        <f>AVERAGE(Table58[Genson])</f>
        <v>97395.199999999997</v>
      </c>
      <c r="L41" s="2" t="e">
        <f>AVERAGE(Table58[Boon])</f>
        <v>#DIV/0!</v>
      </c>
      <c r="M41" s="4" t="s">
        <v>53</v>
      </c>
      <c r="N41" s="2">
        <f>AVERAGE(Table58[Gson])</f>
        <v>89912.2</v>
      </c>
      <c r="O41" s="2"/>
      <c r="P41" s="2"/>
      <c r="Q41" s="2"/>
    </row>
    <row r="42" spans="2:17" x14ac:dyDescent="0.25">
      <c r="B42" t="s">
        <v>4</v>
      </c>
      <c r="C42" s="3">
        <f>AVERAGE(Table56[Newtonsoft (size)])</f>
        <v>1213888890</v>
      </c>
      <c r="D42" s="3">
        <f>AVERAGE(Table56[Revenj (size)])</f>
        <v>1038888890</v>
      </c>
      <c r="E42" s="3">
        <f>AVERAGE(Table56[fastJSON (size)])</f>
        <v>1093888890</v>
      </c>
      <c r="F42" s="3">
        <f>AVERAGE(Table56[Service Stack (size)])</f>
        <v>1203888890</v>
      </c>
      <c r="G42" s="2">
        <f>AVERAGE(Table56[Jil (size)])</f>
        <v>1243888890</v>
      </c>
      <c r="H42" s="2">
        <f>AVERAGE(Table56[NetJSON (size)])</f>
        <v>1138888890</v>
      </c>
      <c r="I42" s="2">
        <f>AVERAGE(Table56[Jackson (size)])</f>
        <v>1038888890</v>
      </c>
      <c r="J42" s="2">
        <f>AVERAGE(Table56[DSL Platform Java (size)])</f>
        <v>1038888890</v>
      </c>
      <c r="K42" s="2">
        <f>AVERAGE(Table56[Genson (size)])</f>
        <v>1113888890</v>
      </c>
      <c r="L42" s="2">
        <f>AVERAGE(Table56[Boon (size)])</f>
        <v>918888890</v>
      </c>
      <c r="M42" s="4" t="s">
        <v>53</v>
      </c>
      <c r="N42" s="2">
        <f>AVERAGE(Table56[Gson (size)])</f>
        <v>1113888890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DEVSQ(Table56[Newtonsoft])</f>
        <v>403545.19999999995</v>
      </c>
      <c r="D47" s="2">
        <f>DEVSQ(Table56[Revenj])</f>
        <v>103896.8</v>
      </c>
      <c r="E47" s="2">
        <f>DEVSQ(Table56[fastJSON])</f>
        <v>48688.800000000003</v>
      </c>
      <c r="F47" s="2">
        <f>DEVSQ(Table56[Service Stack])</f>
        <v>292954.8</v>
      </c>
      <c r="G47" s="2">
        <f>DEVSQ(Table56[Jil])</f>
        <v>17106.800000000003</v>
      </c>
      <c r="H47" s="2">
        <f>DEVSQ(Table56[NetJSON])</f>
        <v>245377.2</v>
      </c>
      <c r="I47" s="2">
        <f>DEVSQ(Table56[Jackson])</f>
        <v>1596906</v>
      </c>
      <c r="J47" s="2">
        <f>DEVSQ(Table56[DSL Platform Java])</f>
        <v>119759.2</v>
      </c>
      <c r="K47" s="2">
        <f>DEVSQ(Table56[Genson])</f>
        <v>10663830</v>
      </c>
      <c r="L47" s="2">
        <f>DEVSQ(Table56[Boon])</f>
        <v>3599042</v>
      </c>
      <c r="M47" s="2">
        <f>DEVSQ(Table56[Alibaba])</f>
        <v>49363646</v>
      </c>
      <c r="N47" s="2">
        <f>DEVSQ(Table56[Gson])</f>
        <v>2843998</v>
      </c>
      <c r="O47" s="2"/>
      <c r="P47" s="2"/>
      <c r="Q47" s="2"/>
    </row>
    <row r="48" spans="2:17" x14ac:dyDescent="0.25">
      <c r="B48" t="s">
        <v>25</v>
      </c>
      <c r="C48" s="2">
        <f>DEVSQ(Table58[Newtonsoft])</f>
        <v>4295919.1999999993</v>
      </c>
      <c r="D48" s="2">
        <f>DEVSQ(Table58[Revenj])</f>
        <v>44238.8</v>
      </c>
      <c r="E48" s="2">
        <f>DEVSQ(Table58[fastJSON])</f>
        <v>807354.8</v>
      </c>
      <c r="F48" s="2">
        <f>DEVSQ(Table58[Service Stack])</f>
        <v>668258.79999999993</v>
      </c>
      <c r="G48" s="2">
        <f>DEVSQ(Table58[Jil])</f>
        <v>118470.8</v>
      </c>
      <c r="H48" s="2">
        <f>DEVSQ(Table58[NetJSON])</f>
        <v>266288.8</v>
      </c>
      <c r="I48" s="2">
        <f>DEVSQ(Table58[Jackson])</f>
        <v>6736745.1999999993</v>
      </c>
      <c r="J48" s="2">
        <f>DEVSQ(Table58[DSL Platform Java])</f>
        <v>1823046.8</v>
      </c>
      <c r="K48" s="2">
        <f>DEVSQ(Table58[Genson])</f>
        <v>17532334.800000001</v>
      </c>
      <c r="L48" s="2" t="e">
        <f>DEVSQ(Table58[Boon])</f>
        <v>#NUM!</v>
      </c>
      <c r="M48" s="2">
        <f>DEVSQ(Table58[Alibaba])</f>
        <v>52511265.200000003</v>
      </c>
      <c r="N48" s="2">
        <f>DEVSQ(Table58[Gson])</f>
        <v>19867262.800000001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7819</v>
      </c>
      <c r="C52">
        <v>8095</v>
      </c>
      <c r="D52">
        <v>7882</v>
      </c>
      <c r="E52">
        <v>7867</v>
      </c>
      <c r="F52">
        <v>7852</v>
      </c>
      <c r="G52">
        <v>7844</v>
      </c>
      <c r="H52">
        <v>5322</v>
      </c>
      <c r="I52">
        <v>5312</v>
      </c>
      <c r="J52">
        <v>5268</v>
      </c>
      <c r="K52">
        <v>5290</v>
      </c>
      <c r="L52">
        <v>5316</v>
      </c>
      <c r="M52">
        <v>5391</v>
      </c>
    </row>
    <row r="53" spans="2:25" x14ac:dyDescent="0.25">
      <c r="B53">
        <v>7924</v>
      </c>
      <c r="C53">
        <v>8100</v>
      </c>
      <c r="D53">
        <v>8076</v>
      </c>
      <c r="E53">
        <v>7818</v>
      </c>
      <c r="F53">
        <v>7833</v>
      </c>
      <c r="G53">
        <v>7926</v>
      </c>
      <c r="H53">
        <v>5257</v>
      </c>
      <c r="I53">
        <v>5228</v>
      </c>
      <c r="J53">
        <v>5319</v>
      </c>
      <c r="K53">
        <v>5324</v>
      </c>
      <c r="L53">
        <v>5316</v>
      </c>
      <c r="M53">
        <v>5282</v>
      </c>
    </row>
    <row r="54" spans="2:25" x14ac:dyDescent="0.25">
      <c r="B54">
        <v>7942</v>
      </c>
      <c r="C54">
        <v>8108</v>
      </c>
      <c r="D54">
        <v>7999</v>
      </c>
      <c r="E54">
        <v>7821</v>
      </c>
      <c r="F54">
        <v>7899</v>
      </c>
      <c r="G54">
        <v>7820</v>
      </c>
      <c r="H54">
        <v>5310</v>
      </c>
      <c r="I54">
        <v>5235</v>
      </c>
      <c r="J54">
        <v>5309</v>
      </c>
      <c r="K54">
        <v>5361</v>
      </c>
      <c r="L54">
        <v>5360</v>
      </c>
      <c r="M54">
        <v>5291</v>
      </c>
    </row>
    <row r="55" spans="2:25" x14ac:dyDescent="0.25">
      <c r="B55">
        <v>7901</v>
      </c>
      <c r="C55">
        <v>8093</v>
      </c>
      <c r="D55">
        <v>7956</v>
      </c>
      <c r="E55">
        <v>7831</v>
      </c>
      <c r="F55">
        <v>7794</v>
      </c>
      <c r="G55">
        <v>7860</v>
      </c>
      <c r="H55">
        <v>5269</v>
      </c>
      <c r="I55">
        <v>5233</v>
      </c>
      <c r="J55">
        <v>5276</v>
      </c>
      <c r="K55">
        <v>5279</v>
      </c>
      <c r="L55">
        <v>5327</v>
      </c>
      <c r="M55">
        <v>5288</v>
      </c>
    </row>
    <row r="56" spans="2:25" x14ac:dyDescent="0.25">
      <c r="B56">
        <v>7785</v>
      </c>
      <c r="C56">
        <v>8059</v>
      </c>
      <c r="D56">
        <v>7872</v>
      </c>
      <c r="E56">
        <v>7769</v>
      </c>
      <c r="F56">
        <v>7829</v>
      </c>
      <c r="G56">
        <v>7930</v>
      </c>
      <c r="H56">
        <v>5265</v>
      </c>
      <c r="I56">
        <v>5242</v>
      </c>
      <c r="J56">
        <v>5301</v>
      </c>
      <c r="K56">
        <v>5323</v>
      </c>
      <c r="L56">
        <v>5358</v>
      </c>
      <c r="M56">
        <v>5291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37524</v>
      </c>
      <c r="C60">
        <v>18433</v>
      </c>
      <c r="D60">
        <v>42317</v>
      </c>
      <c r="E60">
        <v>53639</v>
      </c>
      <c r="F60">
        <v>25345</v>
      </c>
      <c r="G60">
        <v>24759</v>
      </c>
      <c r="H60">
        <v>17974</v>
      </c>
      <c r="I60">
        <v>7858</v>
      </c>
      <c r="J60">
        <v>51716</v>
      </c>
      <c r="K60">
        <v>24810</v>
      </c>
      <c r="L60">
        <v>184159</v>
      </c>
      <c r="M60">
        <v>35419</v>
      </c>
      <c r="N60">
        <v>1213888890</v>
      </c>
      <c r="O60">
        <v>1038888890</v>
      </c>
      <c r="P60">
        <v>1093888890</v>
      </c>
      <c r="Q60">
        <v>1203888890</v>
      </c>
      <c r="R60">
        <v>1243888890</v>
      </c>
      <c r="S60">
        <v>1138888890</v>
      </c>
      <c r="T60">
        <v>1038888890</v>
      </c>
      <c r="U60">
        <v>1038888890</v>
      </c>
      <c r="V60">
        <v>1113888890</v>
      </c>
      <c r="W60">
        <v>918888890</v>
      </c>
      <c r="X60">
        <v>19618334810</v>
      </c>
      <c r="Y60">
        <v>1113888890</v>
      </c>
    </row>
    <row r="61" spans="2:25" x14ac:dyDescent="0.25">
      <c r="B61">
        <v>37476</v>
      </c>
      <c r="C61">
        <v>18368</v>
      </c>
      <c r="D61">
        <v>42387</v>
      </c>
      <c r="E61">
        <v>53518</v>
      </c>
      <c r="F61">
        <v>25242</v>
      </c>
      <c r="G61">
        <v>25257</v>
      </c>
      <c r="H61">
        <v>19289</v>
      </c>
      <c r="I61">
        <v>8131</v>
      </c>
      <c r="J61">
        <v>54125</v>
      </c>
      <c r="K61">
        <v>25731</v>
      </c>
      <c r="L61">
        <v>180458</v>
      </c>
      <c r="M61">
        <v>33936</v>
      </c>
      <c r="N61">
        <v>1213888890</v>
      </c>
      <c r="O61">
        <v>1038888890</v>
      </c>
      <c r="P61">
        <v>1093888890</v>
      </c>
      <c r="Q61">
        <v>1203888890</v>
      </c>
      <c r="R61">
        <v>1243888890</v>
      </c>
      <c r="S61">
        <v>1138888890</v>
      </c>
      <c r="T61">
        <v>1038888890</v>
      </c>
      <c r="U61">
        <v>1038888890</v>
      </c>
      <c r="V61">
        <v>1113888890</v>
      </c>
      <c r="W61">
        <v>918888890</v>
      </c>
      <c r="X61">
        <v>19618334810</v>
      </c>
      <c r="Y61">
        <v>1113888890</v>
      </c>
    </row>
    <row r="62" spans="2:25" x14ac:dyDescent="0.25">
      <c r="B62">
        <v>38067</v>
      </c>
      <c r="C62">
        <v>18347</v>
      </c>
      <c r="D62">
        <v>42158</v>
      </c>
      <c r="E62">
        <v>53567</v>
      </c>
      <c r="F62">
        <v>25417</v>
      </c>
      <c r="G62">
        <v>25240</v>
      </c>
      <c r="H62">
        <v>17663</v>
      </c>
      <c r="I62">
        <v>8195</v>
      </c>
      <c r="J62">
        <v>54288</v>
      </c>
      <c r="K62">
        <v>24531</v>
      </c>
      <c r="L62">
        <v>180341</v>
      </c>
      <c r="M62">
        <v>34967</v>
      </c>
      <c r="N62">
        <v>1213888890</v>
      </c>
      <c r="O62">
        <v>1038888890</v>
      </c>
      <c r="P62">
        <v>1093888890</v>
      </c>
      <c r="Q62">
        <v>1203888890</v>
      </c>
      <c r="R62">
        <v>1243888890</v>
      </c>
      <c r="S62">
        <v>1138888890</v>
      </c>
      <c r="T62">
        <v>1038888890</v>
      </c>
      <c r="U62">
        <v>1038888890</v>
      </c>
      <c r="V62">
        <v>1113888890</v>
      </c>
      <c r="W62">
        <v>918888890</v>
      </c>
      <c r="X62">
        <v>19618334810</v>
      </c>
      <c r="Y62">
        <v>1113888890</v>
      </c>
    </row>
    <row r="63" spans="2:25" x14ac:dyDescent="0.25">
      <c r="B63">
        <v>38167</v>
      </c>
      <c r="C63">
        <v>18635</v>
      </c>
      <c r="D63">
        <v>42171</v>
      </c>
      <c r="E63">
        <v>54022</v>
      </c>
      <c r="F63">
        <v>25376</v>
      </c>
      <c r="G63">
        <v>24756</v>
      </c>
      <c r="H63">
        <v>18496</v>
      </c>
      <c r="I63">
        <v>7811</v>
      </c>
      <c r="J63">
        <v>51969</v>
      </c>
      <c r="K63">
        <v>23331</v>
      </c>
      <c r="L63">
        <v>175374</v>
      </c>
      <c r="M63">
        <v>33444</v>
      </c>
      <c r="N63">
        <v>1213888890</v>
      </c>
      <c r="O63">
        <v>1038888890</v>
      </c>
      <c r="P63">
        <v>1093888890</v>
      </c>
      <c r="Q63">
        <v>1203888890</v>
      </c>
      <c r="R63">
        <v>1243888890</v>
      </c>
      <c r="S63">
        <v>1138888890</v>
      </c>
      <c r="T63">
        <v>1038888890</v>
      </c>
      <c r="U63">
        <v>1038888890</v>
      </c>
      <c r="V63">
        <v>1113888890</v>
      </c>
      <c r="W63">
        <v>918888890</v>
      </c>
      <c r="X63">
        <v>19618334810</v>
      </c>
      <c r="Y63">
        <v>1113888890</v>
      </c>
    </row>
    <row r="64" spans="2:25" x14ac:dyDescent="0.25">
      <c r="B64">
        <v>37664</v>
      </c>
      <c r="C64">
        <v>18701</v>
      </c>
      <c r="D64">
        <v>42141</v>
      </c>
      <c r="E64">
        <v>54098</v>
      </c>
      <c r="F64">
        <v>25366</v>
      </c>
      <c r="G64">
        <v>24931</v>
      </c>
      <c r="H64">
        <v>18038</v>
      </c>
      <c r="I64">
        <v>8103</v>
      </c>
      <c r="J64">
        <v>50517</v>
      </c>
      <c r="K64">
        <v>23692</v>
      </c>
      <c r="L64">
        <v>176483</v>
      </c>
      <c r="M64">
        <v>33769</v>
      </c>
      <c r="N64">
        <v>1213888890</v>
      </c>
      <c r="O64">
        <v>1038888890</v>
      </c>
      <c r="P64">
        <v>1093888890</v>
      </c>
      <c r="Q64">
        <v>1203888890</v>
      </c>
      <c r="R64">
        <v>1243888890</v>
      </c>
      <c r="S64">
        <v>1138888890</v>
      </c>
      <c r="T64">
        <v>1038888890</v>
      </c>
      <c r="U64">
        <v>1038888890</v>
      </c>
      <c r="V64">
        <v>1113888890</v>
      </c>
      <c r="W64">
        <v>918888890</v>
      </c>
      <c r="X64">
        <v>19618334810</v>
      </c>
      <c r="Y64">
        <v>1113888890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117144</v>
      </c>
      <c r="C68">
        <v>38508</v>
      </c>
      <c r="D68">
        <v>114015</v>
      </c>
      <c r="E68">
        <v>128522</v>
      </c>
      <c r="F68">
        <v>56026</v>
      </c>
      <c r="G68">
        <v>56260</v>
      </c>
      <c r="H68">
        <v>45486</v>
      </c>
      <c r="I68">
        <v>12512</v>
      </c>
      <c r="J68">
        <v>95586</v>
      </c>
      <c r="L68">
        <v>493214</v>
      </c>
      <c r="M68">
        <v>91775</v>
      </c>
    </row>
    <row r="69" spans="2:13" x14ac:dyDescent="0.25">
      <c r="B69">
        <v>117082</v>
      </c>
      <c r="C69">
        <v>38744</v>
      </c>
      <c r="D69">
        <v>113784</v>
      </c>
      <c r="E69">
        <v>128514</v>
      </c>
      <c r="F69">
        <v>55865</v>
      </c>
      <c r="G69">
        <v>56826</v>
      </c>
      <c r="H69">
        <v>44651</v>
      </c>
      <c r="I69">
        <v>13015</v>
      </c>
      <c r="J69">
        <v>100872</v>
      </c>
      <c r="L69">
        <v>485976</v>
      </c>
      <c r="M69">
        <v>91704</v>
      </c>
    </row>
    <row r="70" spans="2:13" x14ac:dyDescent="0.25">
      <c r="B70">
        <v>119555</v>
      </c>
      <c r="C70">
        <v>38560</v>
      </c>
      <c r="D70">
        <v>114280</v>
      </c>
      <c r="E70">
        <v>129506</v>
      </c>
      <c r="F70">
        <v>56134</v>
      </c>
      <c r="G70">
        <v>56784</v>
      </c>
      <c r="H70">
        <v>44628</v>
      </c>
      <c r="I70">
        <v>12853</v>
      </c>
      <c r="J70">
        <v>95930</v>
      </c>
      <c r="L70">
        <v>487603</v>
      </c>
      <c r="M70">
        <v>88849</v>
      </c>
    </row>
    <row r="71" spans="2:13" x14ac:dyDescent="0.25">
      <c r="B71">
        <v>118330</v>
      </c>
      <c r="C71">
        <v>38735</v>
      </c>
      <c r="D71">
        <v>113766</v>
      </c>
      <c r="E71">
        <v>128847</v>
      </c>
      <c r="F71">
        <v>55710</v>
      </c>
      <c r="G71">
        <v>56446</v>
      </c>
      <c r="H71">
        <v>42227</v>
      </c>
      <c r="I71">
        <v>13942</v>
      </c>
      <c r="J71">
        <v>97251</v>
      </c>
      <c r="L71">
        <v>483623</v>
      </c>
      <c r="M71">
        <v>86531</v>
      </c>
    </row>
    <row r="72" spans="2:13" x14ac:dyDescent="0.25">
      <c r="B72">
        <v>117532</v>
      </c>
      <c r="C72">
        <v>38609</v>
      </c>
      <c r="D72">
        <v>114851</v>
      </c>
      <c r="E72">
        <v>128995</v>
      </c>
      <c r="F72">
        <v>56071</v>
      </c>
      <c r="G72">
        <v>56345</v>
      </c>
      <c r="H72">
        <v>43240</v>
      </c>
      <c r="I72">
        <v>12144</v>
      </c>
      <c r="J72">
        <v>97337</v>
      </c>
      <c r="L72">
        <v>485822</v>
      </c>
      <c r="M72">
        <v>90702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72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45</v>
      </c>
    </row>
    <row r="37" spans="2:17" x14ac:dyDescent="0.25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AVERAGE(Table62[Newtonsoft])</f>
        <v>118</v>
      </c>
      <c r="D38" s="2">
        <f>AVERAGE(Table62[Revenj])</f>
        <v>117.8</v>
      </c>
      <c r="E38" s="2" t="e">
        <f>AVERAGE(Table62[fastJSON])</f>
        <v>#DIV/0!</v>
      </c>
      <c r="F38" s="2">
        <f>AVERAGE(Table62[Service Stack])</f>
        <v>118.4</v>
      </c>
      <c r="G38" s="2" t="e">
        <f>AVERAGE(Table62[Jil])</f>
        <v>#DIV/0!</v>
      </c>
      <c r="H38" s="2" t="e">
        <f>AVERAGE(Table62[NetJSON])</f>
        <v>#DIV/0!</v>
      </c>
      <c r="I38" s="2">
        <f>AVERAGE(Table62[Jackson])</f>
        <v>80</v>
      </c>
      <c r="J38" s="2">
        <f>AVERAGE(Table62[DSL Platform Java])</f>
        <v>28</v>
      </c>
      <c r="K38" s="2">
        <f>AVERAGE(Table62[Genson])</f>
        <v>68</v>
      </c>
      <c r="L38" s="2" t="e">
        <f>AVERAGE(Table62[Boon])</f>
        <v>#DIV/0!</v>
      </c>
      <c r="M38" s="2" t="e">
        <f>AVERAGE(Table62[Alibaba])</f>
        <v>#DIV/0!</v>
      </c>
      <c r="N38" s="2">
        <f>AVERAGE(Table62[Gson])</f>
        <v>80</v>
      </c>
      <c r="O38" s="2"/>
      <c r="P38" s="2"/>
      <c r="Q38" s="2"/>
    </row>
    <row r="39" spans="2:17" x14ac:dyDescent="0.25">
      <c r="B39" t="s">
        <v>0</v>
      </c>
      <c r="C39" s="2">
        <f>AVERAGE(Table61[Newtonsoft]) - C38</f>
        <v>351.2</v>
      </c>
      <c r="D39" s="2">
        <f>AVERAGE(Table61[Revenj]) - D38</f>
        <v>56.000000000000014</v>
      </c>
      <c r="E39" s="2" t="e">
        <f>AVERAGE(Table61[fastJSON]) - E38</f>
        <v>#DIV/0!</v>
      </c>
      <c r="F39" s="2">
        <f>AVERAGE(Table61[Service Stack]) - F38</f>
        <v>281.60000000000002</v>
      </c>
      <c r="G39" s="2" t="e">
        <f>AVERAGE(Table61[Jil]) - G38</f>
        <v>#DIV/0!</v>
      </c>
      <c r="H39" s="2" t="e">
        <f>AVERAGE(Table61[NetJSON]) - H38</f>
        <v>#DIV/0!</v>
      </c>
      <c r="I39" s="2">
        <f>AVERAGE(Table61[Jackson]) - I38</f>
        <v>431</v>
      </c>
      <c r="J39" s="2">
        <f>AVERAGE(Table61[DSL Platform Java]) - J38</f>
        <v>100.4</v>
      </c>
      <c r="K39" s="2">
        <f>AVERAGE(Table61[Genson]) - K38</f>
        <v>405.8</v>
      </c>
      <c r="L39" s="2" t="e">
        <f>AVERAGE(Table61[Boon]) - L38</f>
        <v>#DIV/0!</v>
      </c>
      <c r="M39" s="2" t="e">
        <f>AVERAGE(Table61[Alibaba]) - M38</f>
        <v>#DIV/0!</v>
      </c>
      <c r="N39" s="2">
        <f>AVERAGE(Table61[Gson]) - N38</f>
        <v>385.6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276.8</v>
      </c>
      <c r="D40" s="2">
        <f t="shared" si="0"/>
        <v>123.39999999999999</v>
      </c>
      <c r="E40" s="2" t="e">
        <f t="shared" ref="E40" si="1">E41 - E39 - E38</f>
        <v>#DIV/0!</v>
      </c>
      <c r="F40" s="2">
        <f t="shared" si="0"/>
        <v>273.79999999999995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582.20000000000005</v>
      </c>
      <c r="J40" s="2">
        <f t="shared" ref="J40" si="3">J41 - J39 - J38</f>
        <v>149.20000000000002</v>
      </c>
      <c r="K40" s="2" t="e">
        <f t="shared" ref="K40:L40" si="4">K41 - K39 - K38</f>
        <v>#VALUE!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449.6</v>
      </c>
      <c r="O40" s="2"/>
      <c r="P40" s="2"/>
      <c r="Q40" s="2"/>
    </row>
    <row r="41" spans="2:17" x14ac:dyDescent="0.25">
      <c r="B41" t="s">
        <v>25</v>
      </c>
      <c r="C41" s="2">
        <f>AVERAGE(Table63[Newtonsoft])</f>
        <v>746</v>
      </c>
      <c r="D41" s="2">
        <f>AVERAGE(Table63[Revenj])</f>
        <v>297.2</v>
      </c>
      <c r="E41" s="2" t="e">
        <f>AVERAGE(Table63[fastJSON])</f>
        <v>#DIV/0!</v>
      </c>
      <c r="F41" s="2">
        <f>AVERAGE(Table63[Service Stack])</f>
        <v>673.8</v>
      </c>
      <c r="G41" s="2" t="e">
        <f>AVERAGE(Table63[Jil])</f>
        <v>#DIV/0!</v>
      </c>
      <c r="H41" s="2" t="e">
        <f>AVERAGE(Table63[NetJSON])</f>
        <v>#DIV/0!</v>
      </c>
      <c r="I41" s="2">
        <f>AVERAGE(Table63[Jackson])</f>
        <v>1093.2</v>
      </c>
      <c r="J41" s="2">
        <f>AVERAGE(Table63[DSL Platform Java])</f>
        <v>277.60000000000002</v>
      </c>
      <c r="K41" s="4" t="s">
        <v>53</v>
      </c>
      <c r="L41" s="2" t="e">
        <f>AVERAGE(Table63[Boon])</f>
        <v>#DIV/0!</v>
      </c>
      <c r="M41" s="2" t="e">
        <f>AVERAGE(Table63[Alibaba])</f>
        <v>#DIV/0!</v>
      </c>
      <c r="N41" s="2">
        <f>AVERAGE(Table63[Gson])</f>
        <v>915.2</v>
      </c>
      <c r="O41" s="2"/>
      <c r="P41" s="2"/>
      <c r="Q41" s="2"/>
    </row>
    <row r="42" spans="2:17" x14ac:dyDescent="0.25">
      <c r="B42" t="s">
        <v>4</v>
      </c>
      <c r="C42" s="3">
        <f>AVERAGE(Table61[Newtonsoft (size)])</f>
        <v>2234454</v>
      </c>
      <c r="D42" s="3">
        <f>AVERAGE(Table61[Revenj (size)])</f>
        <v>1802584</v>
      </c>
      <c r="E42" s="3" t="e">
        <f>AVERAGE(Table61[fastJSON (size)])</f>
        <v>#DIV/0!</v>
      </c>
      <c r="F42" s="3">
        <f>AVERAGE(Table61[Service Stack (size)])</f>
        <v>1740659</v>
      </c>
      <c r="G42" s="2" t="e">
        <f>AVERAGE(Table61[Jil (size)])</f>
        <v>#DIV/0!</v>
      </c>
      <c r="H42" s="2" t="e">
        <f>AVERAGE(Table61[NetJSON (size)])</f>
        <v>#DIV/0!</v>
      </c>
      <c r="I42" s="2">
        <f>AVERAGE(Table61[Jackson (size)])</f>
        <v>1762584</v>
      </c>
      <c r="J42" s="2">
        <f>AVERAGE(Table61[DSL Platform Java (size)])</f>
        <v>1762584</v>
      </c>
      <c r="K42" s="2">
        <f>AVERAGE(Table61[Genson (size)])</f>
        <v>2079785</v>
      </c>
      <c r="L42" s="2" t="e">
        <f>AVERAGE(Table61[Boon (size)])</f>
        <v>#DIV/0!</v>
      </c>
      <c r="M42" s="2" t="e">
        <f>AVERAGE(Table61[Alibaba (size)])</f>
        <v>#DIV/0!</v>
      </c>
      <c r="N42" s="2">
        <f>AVERAGE(Table61[Gson (size)])</f>
        <v>1763995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DEVSQ(Table61[Newtonsoft])</f>
        <v>44.8</v>
      </c>
      <c r="D47" s="2">
        <f>DEVSQ(Table61[Revenj])</f>
        <v>6.8000000000000007</v>
      </c>
      <c r="E47" s="2" t="e">
        <f>DEVSQ(Table61[fastJSON])</f>
        <v>#NUM!</v>
      </c>
      <c r="F47" s="2">
        <f>DEVSQ(Table61[Service Stack])</f>
        <v>4</v>
      </c>
      <c r="G47" s="2" t="e">
        <f>DEVSQ(Table61[Jil])</f>
        <v>#NUM!</v>
      </c>
      <c r="H47" s="2" t="e">
        <f>DEVSQ(Table61[NetJSON])</f>
        <v>#NUM!</v>
      </c>
      <c r="I47" s="2">
        <f>DEVSQ(Table61[Jackson])</f>
        <v>4</v>
      </c>
      <c r="J47" s="2">
        <f>DEVSQ(Table61[DSL Platform Java])</f>
        <v>1.2</v>
      </c>
      <c r="K47" s="2">
        <f>DEVSQ(Table61[Genson])</f>
        <v>14.8</v>
      </c>
      <c r="L47" s="2" t="e">
        <f>DEVSQ(Table61[Boon])</f>
        <v>#NUM!</v>
      </c>
      <c r="M47" s="2" t="e">
        <f>DEVSQ(Table61[Alibaba])</f>
        <v>#NUM!</v>
      </c>
      <c r="N47" s="2">
        <f>DEVSQ(Table61[Gson])</f>
        <v>23.200000000000003</v>
      </c>
      <c r="O47" s="2"/>
      <c r="P47" s="2"/>
      <c r="Q47" s="2"/>
    </row>
    <row r="48" spans="2:17" x14ac:dyDescent="0.25">
      <c r="B48" t="s">
        <v>25</v>
      </c>
      <c r="C48" s="2">
        <f>DEVSQ(Table63[Newtonsoft])</f>
        <v>16</v>
      </c>
      <c r="D48" s="2">
        <f>DEVSQ(Table63[Revenj])</f>
        <v>0.80000000000000016</v>
      </c>
      <c r="E48" s="2" t="e">
        <f>DEVSQ(Table63[fastJSON])</f>
        <v>#NUM!</v>
      </c>
      <c r="F48" s="2">
        <f>DEVSQ(Table63[Service Stack])</f>
        <v>2.8000000000000003</v>
      </c>
      <c r="G48" s="2" t="e">
        <f>DEVSQ(Table63[Jil])</f>
        <v>#NUM!</v>
      </c>
      <c r="H48" s="2" t="e">
        <f>DEVSQ(Table63[NetJSON])</f>
        <v>#NUM!</v>
      </c>
      <c r="I48" s="2">
        <f>DEVSQ(Table63[Jackson])</f>
        <v>74.8</v>
      </c>
      <c r="J48" s="2">
        <f>DEVSQ(Table63[DSL Platform Java])</f>
        <v>3.2</v>
      </c>
      <c r="K48" s="2">
        <f>DEVSQ(Table63[Genson])</f>
        <v>274</v>
      </c>
      <c r="L48" s="2" t="e">
        <f>DEVSQ(Table63[Boon])</f>
        <v>#NUM!</v>
      </c>
      <c r="M48" s="2" t="e">
        <f>DEVSQ(Table63[Alibaba])</f>
        <v>#NUM!</v>
      </c>
      <c r="N48" s="2">
        <f>DEVSQ(Table63[Gson])</f>
        <v>64.8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118</v>
      </c>
      <c r="C52">
        <v>118</v>
      </c>
      <c r="E52">
        <v>118</v>
      </c>
      <c r="H52">
        <v>80</v>
      </c>
      <c r="I52">
        <v>28</v>
      </c>
      <c r="J52">
        <v>68</v>
      </c>
      <c r="M52">
        <v>80</v>
      </c>
    </row>
    <row r="53" spans="2:25" x14ac:dyDescent="0.25">
      <c r="B53">
        <v>118</v>
      </c>
      <c r="C53">
        <v>118</v>
      </c>
      <c r="E53">
        <v>118</v>
      </c>
      <c r="H53">
        <v>80</v>
      </c>
      <c r="I53">
        <v>28</v>
      </c>
      <c r="J53">
        <v>68</v>
      </c>
      <c r="M53">
        <v>80</v>
      </c>
    </row>
    <row r="54" spans="2:25" x14ac:dyDescent="0.25">
      <c r="B54">
        <v>118</v>
      </c>
      <c r="C54">
        <v>118</v>
      </c>
      <c r="E54">
        <v>118</v>
      </c>
      <c r="H54">
        <v>80</v>
      </c>
      <c r="I54">
        <v>28</v>
      </c>
      <c r="J54">
        <v>68</v>
      </c>
      <c r="M54">
        <v>80</v>
      </c>
    </row>
    <row r="55" spans="2:25" x14ac:dyDescent="0.25">
      <c r="B55">
        <v>118</v>
      </c>
      <c r="C55">
        <v>117</v>
      </c>
      <c r="E55">
        <v>120</v>
      </c>
      <c r="H55">
        <v>80</v>
      </c>
      <c r="I55">
        <v>28</v>
      </c>
      <c r="J55">
        <v>68</v>
      </c>
      <c r="M55">
        <v>80</v>
      </c>
    </row>
    <row r="56" spans="2:25" x14ac:dyDescent="0.25">
      <c r="B56">
        <v>118</v>
      </c>
      <c r="C56">
        <v>118</v>
      </c>
      <c r="E56">
        <v>118</v>
      </c>
      <c r="H56">
        <v>80</v>
      </c>
      <c r="I56">
        <v>28</v>
      </c>
      <c r="J56">
        <v>68</v>
      </c>
      <c r="M56">
        <v>80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467</v>
      </c>
      <c r="C60">
        <v>173</v>
      </c>
      <c r="E60">
        <v>401</v>
      </c>
      <c r="H60">
        <v>512</v>
      </c>
      <c r="I60">
        <v>128</v>
      </c>
      <c r="J60">
        <v>476</v>
      </c>
      <c r="M60">
        <v>464</v>
      </c>
      <c r="N60">
        <v>2234454</v>
      </c>
      <c r="O60">
        <v>1802584</v>
      </c>
      <c r="Q60">
        <v>1740659</v>
      </c>
      <c r="T60">
        <v>1762584</v>
      </c>
      <c r="U60">
        <v>1762584</v>
      </c>
      <c r="V60">
        <v>2079785</v>
      </c>
      <c r="Y60">
        <v>1763995</v>
      </c>
    </row>
    <row r="61" spans="2:25" x14ac:dyDescent="0.25">
      <c r="B61">
        <v>468</v>
      </c>
      <c r="C61">
        <v>176</v>
      </c>
      <c r="E61">
        <v>399</v>
      </c>
      <c r="H61">
        <v>510</v>
      </c>
      <c r="I61">
        <v>128</v>
      </c>
      <c r="J61">
        <v>473</v>
      </c>
      <c r="M61">
        <v>467</v>
      </c>
      <c r="N61">
        <v>2234454</v>
      </c>
      <c r="O61">
        <v>1802584</v>
      </c>
      <c r="Q61">
        <v>1740659</v>
      </c>
      <c r="T61">
        <v>1762584</v>
      </c>
      <c r="U61">
        <v>1762584</v>
      </c>
      <c r="V61">
        <v>2079785</v>
      </c>
      <c r="Y61">
        <v>1763995</v>
      </c>
    </row>
    <row r="62" spans="2:25" x14ac:dyDescent="0.25">
      <c r="B62">
        <v>467</v>
      </c>
      <c r="C62">
        <v>174</v>
      </c>
      <c r="E62">
        <v>401</v>
      </c>
      <c r="H62">
        <v>510</v>
      </c>
      <c r="I62">
        <v>129</v>
      </c>
      <c r="J62">
        <v>474</v>
      </c>
      <c r="M62">
        <v>469</v>
      </c>
      <c r="N62">
        <v>2234454</v>
      </c>
      <c r="O62">
        <v>1802584</v>
      </c>
      <c r="Q62">
        <v>1740659</v>
      </c>
      <c r="T62">
        <v>1762584</v>
      </c>
      <c r="U62">
        <v>1762584</v>
      </c>
      <c r="V62">
        <v>2079785</v>
      </c>
      <c r="Y62">
        <v>1763995</v>
      </c>
    </row>
    <row r="63" spans="2:25" x14ac:dyDescent="0.25">
      <c r="B63">
        <v>475</v>
      </c>
      <c r="C63">
        <v>173</v>
      </c>
      <c r="E63">
        <v>399</v>
      </c>
      <c r="H63">
        <v>512</v>
      </c>
      <c r="I63">
        <v>129</v>
      </c>
      <c r="J63">
        <v>471</v>
      </c>
      <c r="M63">
        <v>465</v>
      </c>
      <c r="N63">
        <v>2234454</v>
      </c>
      <c r="O63">
        <v>1802584</v>
      </c>
      <c r="Q63">
        <v>1740659</v>
      </c>
      <c r="T63">
        <v>1762584</v>
      </c>
      <c r="U63">
        <v>1762584</v>
      </c>
      <c r="V63">
        <v>2079785</v>
      </c>
      <c r="Y63">
        <v>1763995</v>
      </c>
    </row>
    <row r="64" spans="2:25" x14ac:dyDescent="0.25">
      <c r="B64">
        <v>469</v>
      </c>
      <c r="C64">
        <v>173</v>
      </c>
      <c r="E64">
        <v>400</v>
      </c>
      <c r="H64">
        <v>511</v>
      </c>
      <c r="I64">
        <v>128</v>
      </c>
      <c r="J64">
        <v>475</v>
      </c>
      <c r="M64">
        <v>463</v>
      </c>
      <c r="N64">
        <v>2234454</v>
      </c>
      <c r="O64">
        <v>1802584</v>
      </c>
      <c r="Q64">
        <v>1740659</v>
      </c>
      <c r="T64">
        <v>1762584</v>
      </c>
      <c r="U64">
        <v>1762584</v>
      </c>
      <c r="V64">
        <v>2079785</v>
      </c>
      <c r="Y64">
        <v>1763995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745</v>
      </c>
      <c r="C68">
        <v>297</v>
      </c>
      <c r="E68">
        <v>673</v>
      </c>
      <c r="H68">
        <v>1096</v>
      </c>
      <c r="I68">
        <v>278</v>
      </c>
      <c r="J68">
        <v>765</v>
      </c>
      <c r="M68">
        <v>915</v>
      </c>
    </row>
    <row r="69" spans="2:13" x14ac:dyDescent="0.25">
      <c r="B69">
        <v>747</v>
      </c>
      <c r="C69">
        <v>298</v>
      </c>
      <c r="E69">
        <v>673</v>
      </c>
      <c r="H69">
        <v>1096</v>
      </c>
      <c r="I69">
        <v>278</v>
      </c>
      <c r="J69">
        <v>763</v>
      </c>
      <c r="M69">
        <v>920</v>
      </c>
    </row>
    <row r="70" spans="2:13" x14ac:dyDescent="0.25">
      <c r="B70">
        <v>743</v>
      </c>
      <c r="C70">
        <v>297</v>
      </c>
      <c r="E70">
        <v>675</v>
      </c>
      <c r="H70">
        <v>1097</v>
      </c>
      <c r="I70">
        <v>278</v>
      </c>
      <c r="J70">
        <v>750</v>
      </c>
      <c r="M70">
        <v>915</v>
      </c>
    </row>
    <row r="71" spans="2:13" x14ac:dyDescent="0.25">
      <c r="B71">
        <v>747</v>
      </c>
      <c r="C71">
        <v>297</v>
      </c>
      <c r="E71">
        <v>674</v>
      </c>
      <c r="H71">
        <v>1088</v>
      </c>
      <c r="I71">
        <v>276</v>
      </c>
      <c r="J71">
        <v>748</v>
      </c>
      <c r="M71">
        <v>917</v>
      </c>
    </row>
    <row r="72" spans="2:13" x14ac:dyDescent="0.25">
      <c r="B72">
        <v>748</v>
      </c>
      <c r="C72">
        <v>297</v>
      </c>
      <c r="E72">
        <v>674</v>
      </c>
      <c r="H72">
        <v>1089</v>
      </c>
      <c r="I72">
        <v>278</v>
      </c>
      <c r="J72">
        <v>749</v>
      </c>
      <c r="M72">
        <v>909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72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46</v>
      </c>
    </row>
    <row r="37" spans="2:17" x14ac:dyDescent="0.25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AVERAGE(Table67[Newtonsoft])</f>
        <v>319.60000000000002</v>
      </c>
      <c r="D38" s="2">
        <f>AVERAGE(Table67[Revenj])</f>
        <v>316.39999999999998</v>
      </c>
      <c r="E38" s="2" t="e">
        <f>AVERAGE(Table67[fastJSON])</f>
        <v>#DIV/0!</v>
      </c>
      <c r="F38" s="2">
        <f>AVERAGE(Table67[Service Stack])</f>
        <v>318.39999999999998</v>
      </c>
      <c r="G38" s="2" t="e">
        <f>AVERAGE(Table67[Jil])</f>
        <v>#DIV/0!</v>
      </c>
      <c r="H38" s="2" t="e">
        <f>AVERAGE(Table67[NetJSON])</f>
        <v>#DIV/0!</v>
      </c>
      <c r="I38" s="2">
        <f>AVERAGE(Table67[Jackson])</f>
        <v>94.2</v>
      </c>
      <c r="J38" s="2">
        <f>AVERAGE(Table67[DSL Platform Java])</f>
        <v>42.4</v>
      </c>
      <c r="K38" s="2">
        <f>AVERAGE(Table67[Genson])</f>
        <v>83.2</v>
      </c>
      <c r="L38" s="2" t="e">
        <f>AVERAGE(Table67[Boon])</f>
        <v>#DIV/0!</v>
      </c>
      <c r="M38" s="2" t="e">
        <f>AVERAGE(Table67[Alibaba])</f>
        <v>#DIV/0!</v>
      </c>
      <c r="N38" s="2">
        <f>AVERAGE(Table67[Gson])</f>
        <v>94.2</v>
      </c>
      <c r="O38" s="2"/>
      <c r="P38" s="2"/>
      <c r="Q38" s="2"/>
    </row>
    <row r="39" spans="2:17" x14ac:dyDescent="0.25">
      <c r="B39" t="s">
        <v>0</v>
      </c>
      <c r="C39" s="2">
        <f>AVERAGE(Table66[Newtonsoft]) - C38</f>
        <v>1000.6</v>
      </c>
      <c r="D39" s="2">
        <f>AVERAGE(Table66[Revenj]) - D38</f>
        <v>305.20000000000005</v>
      </c>
      <c r="E39" s="2" t="e">
        <f>AVERAGE(Table66[fastJSON]) - E38</f>
        <v>#DIV/0!</v>
      </c>
      <c r="F39" s="2">
        <f>AVERAGE(Table66[Service Stack]) - F38</f>
        <v>1010.8000000000001</v>
      </c>
      <c r="G39" s="2" t="e">
        <f>AVERAGE(Table66[Jil]) - G38</f>
        <v>#DIV/0!</v>
      </c>
      <c r="H39" s="2" t="e">
        <f>AVERAGE(Table66[NetJSON]) - H38</f>
        <v>#DIV/0!</v>
      </c>
      <c r="I39" s="2">
        <f>AVERAGE(Table66[Jackson]) - I38</f>
        <v>825.59999999999991</v>
      </c>
      <c r="J39" s="2">
        <f>AVERAGE(Table66[DSL Platform Java]) - J38</f>
        <v>192.6</v>
      </c>
      <c r="K39" s="2">
        <f>AVERAGE(Table66[Genson]) - K38</f>
        <v>1113.2</v>
      </c>
      <c r="L39" s="2" t="e">
        <f>AVERAGE(Table66[Boon]) - L38</f>
        <v>#DIV/0!</v>
      </c>
      <c r="M39" s="2" t="e">
        <f>AVERAGE(Table66[Alibaba]) - M38</f>
        <v>#DIV/0!</v>
      </c>
      <c r="N39" s="2">
        <f>AVERAGE(Table66[Gson]) - N38</f>
        <v>1043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1511.2000000000003</v>
      </c>
      <c r="D40" s="2">
        <f t="shared" si="0"/>
        <v>663.80000000000007</v>
      </c>
      <c r="E40" s="2" t="e">
        <f t="shared" ref="E40" si="1">E41 - E39 - E38</f>
        <v>#DIV/0!</v>
      </c>
      <c r="F40" s="2">
        <f t="shared" si="0"/>
        <v>1326.3999999999996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1252.2</v>
      </c>
      <c r="J40" s="2">
        <f t="shared" ref="J40" si="3">J41 - J39 - J38</f>
        <v>296.39999999999998</v>
      </c>
      <c r="K40" s="2" t="e">
        <f t="shared" ref="K40:L40" si="4">K41 - K39 - K38</f>
        <v>#VALUE!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1322.9999999999998</v>
      </c>
      <c r="O40" s="2"/>
      <c r="P40" s="2"/>
      <c r="Q40" s="2"/>
    </row>
    <row r="41" spans="2:17" x14ac:dyDescent="0.25">
      <c r="B41" t="s">
        <v>25</v>
      </c>
      <c r="C41" s="2">
        <f>AVERAGE(Table68[Newtonsoft])</f>
        <v>2831.4</v>
      </c>
      <c r="D41" s="2">
        <f>AVERAGE(Table68[Revenj])</f>
        <v>1285.4000000000001</v>
      </c>
      <c r="E41" s="2" t="e">
        <f>AVERAGE(Table68[fastJSON])</f>
        <v>#DIV/0!</v>
      </c>
      <c r="F41" s="2">
        <f>AVERAGE(Table68[Service Stack])</f>
        <v>2655.6</v>
      </c>
      <c r="G41" s="2" t="e">
        <f>AVERAGE(Table68[Jil])</f>
        <v>#DIV/0!</v>
      </c>
      <c r="H41" s="2" t="e">
        <f>AVERAGE(Table68[NetJSON])</f>
        <v>#DIV/0!</v>
      </c>
      <c r="I41" s="2">
        <f>AVERAGE(Table68[Jackson])</f>
        <v>2172</v>
      </c>
      <c r="J41" s="2">
        <f>AVERAGE(Table68[DSL Platform Java])</f>
        <v>531.4</v>
      </c>
      <c r="K41" s="4" t="s">
        <v>53</v>
      </c>
      <c r="L41" s="2" t="e">
        <f>AVERAGE(Table68[Boon])</f>
        <v>#DIV/0!</v>
      </c>
      <c r="M41" s="2" t="e">
        <f>AVERAGE(Table68[Alibaba])</f>
        <v>#DIV/0!</v>
      </c>
      <c r="N41" s="2">
        <f>AVERAGE(Table68[Gson])</f>
        <v>2460.1999999999998</v>
      </c>
      <c r="O41" s="2"/>
      <c r="P41" s="2"/>
      <c r="Q41" s="2"/>
    </row>
    <row r="42" spans="2:17" x14ac:dyDescent="0.25">
      <c r="B42" t="s">
        <v>4</v>
      </c>
      <c r="C42" s="3">
        <f>AVERAGE(Table66[Newtonsoft (size)])</f>
        <v>23246001</v>
      </c>
      <c r="D42" s="3">
        <f>AVERAGE(Table66[Revenj (size)])</f>
        <v>18939843</v>
      </c>
      <c r="E42" s="3" t="e">
        <f>AVERAGE(Table66[fastJSON (size)])</f>
        <v>#DIV/0!</v>
      </c>
      <c r="F42" s="3">
        <f>AVERAGE(Table66[Service Stack (size)])</f>
        <v>18307918</v>
      </c>
      <c r="G42" s="2" t="e">
        <f>AVERAGE(Table66[Jil (size)])</f>
        <v>#DIV/0!</v>
      </c>
      <c r="H42" s="2" t="e">
        <f>AVERAGE(Table66[NetJSON (size)])</f>
        <v>#DIV/0!</v>
      </c>
      <c r="I42" s="2">
        <f>AVERAGE(Table66[Jackson (size)])</f>
        <v>18539843</v>
      </c>
      <c r="J42" s="2">
        <f>AVERAGE(Table66[DSL Platform Java (size)])</f>
        <v>18539843</v>
      </c>
      <c r="K42" s="2">
        <f>AVERAGE(Table66[Genson (size)])</f>
        <v>21699332</v>
      </c>
      <c r="L42" s="2" t="e">
        <f>AVERAGE(Table66[Boon (size)])</f>
        <v>#DIV/0!</v>
      </c>
      <c r="M42" s="2" t="e">
        <f>AVERAGE(Table66[Alibaba (size)])</f>
        <v>#DIV/0!</v>
      </c>
      <c r="N42" s="2">
        <f>AVERAGE(Table66[Gson (size)])</f>
        <v>18541254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DEVSQ(Table66[Newtonsoft])</f>
        <v>50.800000000000004</v>
      </c>
      <c r="D47" s="2">
        <f>DEVSQ(Table66[Revenj])</f>
        <v>5.2</v>
      </c>
      <c r="E47" s="2" t="e">
        <f>DEVSQ(Table66[fastJSON])</f>
        <v>#NUM!</v>
      </c>
      <c r="F47" s="2">
        <f>DEVSQ(Table66[Service Stack])</f>
        <v>432.8</v>
      </c>
      <c r="G47" s="2" t="e">
        <f>DEVSQ(Table66[Jil])</f>
        <v>#NUM!</v>
      </c>
      <c r="H47" s="2" t="e">
        <f>DEVSQ(Table66[NetJSON])</f>
        <v>#NUM!</v>
      </c>
      <c r="I47" s="2">
        <f>DEVSQ(Table66[Jackson])</f>
        <v>148.80000000000001</v>
      </c>
      <c r="J47" s="2">
        <f>DEVSQ(Table66[DSL Platform Java])</f>
        <v>20</v>
      </c>
      <c r="K47" s="2">
        <f>DEVSQ(Table66[Genson])</f>
        <v>615.20000000000005</v>
      </c>
      <c r="L47" s="2" t="e">
        <f>DEVSQ(Table66[Boon])</f>
        <v>#NUM!</v>
      </c>
      <c r="M47" s="2" t="e">
        <f>DEVSQ(Table66[Alibaba])</f>
        <v>#NUM!</v>
      </c>
      <c r="N47" s="2">
        <f>DEVSQ(Table66[Gson])</f>
        <v>1134.8</v>
      </c>
      <c r="O47" s="2"/>
      <c r="P47" s="2"/>
      <c r="Q47" s="2"/>
    </row>
    <row r="48" spans="2:17" x14ac:dyDescent="0.25">
      <c r="B48" t="s">
        <v>25</v>
      </c>
      <c r="C48" s="2">
        <f>DEVSQ(Table68[Newtonsoft])</f>
        <v>777.2</v>
      </c>
      <c r="D48" s="2">
        <f>DEVSQ(Table68[Revenj])</f>
        <v>263.20000000000005</v>
      </c>
      <c r="E48" s="2" t="e">
        <f>DEVSQ(Table68[fastJSON])</f>
        <v>#NUM!</v>
      </c>
      <c r="F48" s="2">
        <f>DEVSQ(Table68[Service Stack])</f>
        <v>123.19999999999999</v>
      </c>
      <c r="G48" s="2" t="e">
        <f>DEVSQ(Table68[Jil])</f>
        <v>#NUM!</v>
      </c>
      <c r="H48" s="2" t="e">
        <f>DEVSQ(Table68[NetJSON])</f>
        <v>#NUM!</v>
      </c>
      <c r="I48" s="2">
        <f>DEVSQ(Table68[Jackson])</f>
        <v>264</v>
      </c>
      <c r="J48" s="2">
        <f>DEVSQ(Table68[DSL Platform Java])</f>
        <v>53.2</v>
      </c>
      <c r="K48" s="2">
        <f>DEVSQ(Table68[Genson])</f>
        <v>899.2</v>
      </c>
      <c r="L48" s="2" t="e">
        <f>DEVSQ(Table68[Boon])</f>
        <v>#NUM!</v>
      </c>
      <c r="M48" s="2" t="e">
        <f>DEVSQ(Table68[Alibaba])</f>
        <v>#NUM!</v>
      </c>
      <c r="N48" s="2">
        <f>DEVSQ(Table68[Gson])</f>
        <v>686.8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320</v>
      </c>
      <c r="C52">
        <v>316</v>
      </c>
      <c r="E52">
        <v>319</v>
      </c>
      <c r="H52">
        <v>94</v>
      </c>
      <c r="I52">
        <v>42</v>
      </c>
      <c r="J52">
        <v>83</v>
      </c>
      <c r="M52">
        <v>94</v>
      </c>
    </row>
    <row r="53" spans="2:25" x14ac:dyDescent="0.25">
      <c r="B53">
        <v>319</v>
      </c>
      <c r="C53">
        <v>316</v>
      </c>
      <c r="E53">
        <v>317</v>
      </c>
      <c r="H53">
        <v>94</v>
      </c>
      <c r="I53">
        <v>42</v>
      </c>
      <c r="J53">
        <v>84</v>
      </c>
      <c r="M53">
        <v>94</v>
      </c>
    </row>
    <row r="54" spans="2:25" x14ac:dyDescent="0.25">
      <c r="B54">
        <v>320</v>
      </c>
      <c r="C54">
        <v>318</v>
      </c>
      <c r="E54">
        <v>319</v>
      </c>
      <c r="H54">
        <v>94</v>
      </c>
      <c r="I54">
        <v>42</v>
      </c>
      <c r="J54">
        <v>83</v>
      </c>
      <c r="M54">
        <v>94</v>
      </c>
    </row>
    <row r="55" spans="2:25" x14ac:dyDescent="0.25">
      <c r="B55">
        <v>320</v>
      </c>
      <c r="C55">
        <v>316</v>
      </c>
      <c r="E55">
        <v>318</v>
      </c>
      <c r="H55">
        <v>94</v>
      </c>
      <c r="I55">
        <v>43</v>
      </c>
      <c r="J55">
        <v>83</v>
      </c>
      <c r="M55">
        <v>94</v>
      </c>
    </row>
    <row r="56" spans="2:25" x14ac:dyDescent="0.25">
      <c r="B56">
        <v>319</v>
      </c>
      <c r="C56">
        <v>316</v>
      </c>
      <c r="E56">
        <v>319</v>
      </c>
      <c r="H56">
        <v>95</v>
      </c>
      <c r="I56">
        <v>43</v>
      </c>
      <c r="J56">
        <v>83</v>
      </c>
      <c r="M56">
        <v>95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1321</v>
      </c>
      <c r="C60">
        <v>622</v>
      </c>
      <c r="E60">
        <v>1326</v>
      </c>
      <c r="H60">
        <v>912</v>
      </c>
      <c r="I60">
        <v>234</v>
      </c>
      <c r="J60">
        <v>1185</v>
      </c>
      <c r="M60">
        <v>1153</v>
      </c>
      <c r="N60">
        <v>23246001</v>
      </c>
      <c r="O60">
        <v>18939843</v>
      </c>
      <c r="Q60">
        <v>18307918</v>
      </c>
      <c r="T60">
        <v>18539843</v>
      </c>
      <c r="U60">
        <v>18539843</v>
      </c>
      <c r="V60">
        <v>21699332</v>
      </c>
      <c r="Y60">
        <v>18541254</v>
      </c>
    </row>
    <row r="61" spans="2:25" x14ac:dyDescent="0.25">
      <c r="B61">
        <v>1318</v>
      </c>
      <c r="C61">
        <v>620</v>
      </c>
      <c r="E61">
        <v>1347</v>
      </c>
      <c r="H61">
        <v>926</v>
      </c>
      <c r="I61">
        <v>238</v>
      </c>
      <c r="J61">
        <v>1213</v>
      </c>
      <c r="M61">
        <v>1135</v>
      </c>
      <c r="N61">
        <v>23246001</v>
      </c>
      <c r="O61">
        <v>18939843</v>
      </c>
      <c r="Q61">
        <v>18307918</v>
      </c>
      <c r="T61">
        <v>18539843</v>
      </c>
      <c r="U61">
        <v>18539843</v>
      </c>
      <c r="V61">
        <v>21699332</v>
      </c>
      <c r="Y61">
        <v>18541254</v>
      </c>
    </row>
    <row r="62" spans="2:25" x14ac:dyDescent="0.25">
      <c r="B62">
        <v>1319</v>
      </c>
      <c r="C62">
        <v>621</v>
      </c>
      <c r="E62">
        <v>1323</v>
      </c>
      <c r="H62">
        <v>917</v>
      </c>
      <c r="I62">
        <v>232</v>
      </c>
      <c r="J62">
        <v>1205</v>
      </c>
      <c r="M62">
        <v>1120</v>
      </c>
      <c r="N62">
        <v>23246001</v>
      </c>
      <c r="O62">
        <v>18939843</v>
      </c>
      <c r="Q62">
        <v>18307918</v>
      </c>
      <c r="T62">
        <v>18539843</v>
      </c>
      <c r="U62">
        <v>18539843</v>
      </c>
      <c r="V62">
        <v>21699332</v>
      </c>
      <c r="Y62">
        <v>18541254</v>
      </c>
    </row>
    <row r="63" spans="2:25" x14ac:dyDescent="0.25">
      <c r="B63">
        <v>1326</v>
      </c>
      <c r="C63">
        <v>622</v>
      </c>
      <c r="E63">
        <v>1329</v>
      </c>
      <c r="H63">
        <v>918</v>
      </c>
      <c r="I63">
        <v>235</v>
      </c>
      <c r="J63">
        <v>1194</v>
      </c>
      <c r="M63">
        <v>1156</v>
      </c>
      <c r="N63">
        <v>23246001</v>
      </c>
      <c r="O63">
        <v>18939843</v>
      </c>
      <c r="Q63">
        <v>18307918</v>
      </c>
      <c r="T63">
        <v>18539843</v>
      </c>
      <c r="U63">
        <v>18539843</v>
      </c>
      <c r="V63">
        <v>21699332</v>
      </c>
      <c r="Y63">
        <v>18541254</v>
      </c>
    </row>
    <row r="64" spans="2:25" x14ac:dyDescent="0.25">
      <c r="B64">
        <v>1317</v>
      </c>
      <c r="C64">
        <v>623</v>
      </c>
      <c r="E64">
        <v>1321</v>
      </c>
      <c r="H64">
        <v>926</v>
      </c>
      <c r="I64">
        <v>236</v>
      </c>
      <c r="J64">
        <v>1185</v>
      </c>
      <c r="M64">
        <v>1122</v>
      </c>
      <c r="N64">
        <v>23246001</v>
      </c>
      <c r="O64">
        <v>18939843</v>
      </c>
      <c r="Q64">
        <v>18307918</v>
      </c>
      <c r="T64">
        <v>18539843</v>
      </c>
      <c r="U64">
        <v>18539843</v>
      </c>
      <c r="V64">
        <v>21699332</v>
      </c>
      <c r="Y64">
        <v>18541254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2839</v>
      </c>
      <c r="C68">
        <v>1272</v>
      </c>
      <c r="E68">
        <v>2651</v>
      </c>
      <c r="H68">
        <v>2167</v>
      </c>
      <c r="I68">
        <v>534</v>
      </c>
      <c r="J68">
        <v>2159</v>
      </c>
      <c r="M68">
        <v>2457</v>
      </c>
    </row>
    <row r="69" spans="2:13" x14ac:dyDescent="0.25">
      <c r="B69">
        <v>2815</v>
      </c>
      <c r="C69">
        <v>1286</v>
      </c>
      <c r="E69">
        <v>2651</v>
      </c>
      <c r="H69">
        <v>2185</v>
      </c>
      <c r="I69">
        <v>527</v>
      </c>
      <c r="J69">
        <v>2119</v>
      </c>
      <c r="M69">
        <v>2479</v>
      </c>
    </row>
    <row r="70" spans="2:13" x14ac:dyDescent="0.25">
      <c r="B70">
        <v>2836</v>
      </c>
      <c r="C70">
        <v>1287</v>
      </c>
      <c r="E70">
        <v>2663</v>
      </c>
      <c r="H70">
        <v>2175</v>
      </c>
      <c r="I70">
        <v>529</v>
      </c>
      <c r="J70">
        <v>2147</v>
      </c>
      <c r="M70">
        <v>2444</v>
      </c>
    </row>
    <row r="71" spans="2:13" x14ac:dyDescent="0.25">
      <c r="B71">
        <v>2819</v>
      </c>
      <c r="C71">
        <v>1294</v>
      </c>
      <c r="E71">
        <v>2653</v>
      </c>
      <c r="H71">
        <v>2166</v>
      </c>
      <c r="I71">
        <v>536</v>
      </c>
      <c r="J71">
        <v>2140</v>
      </c>
      <c r="M71">
        <v>2466</v>
      </c>
    </row>
    <row r="72" spans="2:13" x14ac:dyDescent="0.25">
      <c r="B72">
        <v>2848</v>
      </c>
      <c r="C72">
        <v>1288</v>
      </c>
      <c r="E72">
        <v>2660</v>
      </c>
      <c r="H72">
        <v>2167</v>
      </c>
      <c r="I72">
        <v>531</v>
      </c>
      <c r="J72">
        <v>2133</v>
      </c>
      <c r="M72">
        <v>2455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72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47</v>
      </c>
    </row>
    <row r="37" spans="2:17" x14ac:dyDescent="0.25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AVERAGE(Table72[Newtonsoft])</f>
        <v>2315</v>
      </c>
      <c r="D38" s="2">
        <f>AVERAGE(Table72[Revenj])</f>
        <v>2279.1999999999998</v>
      </c>
      <c r="E38" s="2" t="e">
        <f>AVERAGE(Table72[fastJSON])</f>
        <v>#DIV/0!</v>
      </c>
      <c r="F38" s="2">
        <f>AVERAGE(Table72[Service Stack])</f>
        <v>2293</v>
      </c>
      <c r="G38" s="2" t="e">
        <f>AVERAGE(Table72[Jil])</f>
        <v>#DIV/0!</v>
      </c>
      <c r="H38" s="2" t="e">
        <f>AVERAGE(Table72[NetJSON])</f>
        <v>#DIV/0!</v>
      </c>
      <c r="I38" s="2">
        <f>AVERAGE(Table72[Jackson])</f>
        <v>223.8</v>
      </c>
      <c r="J38" s="2">
        <f>AVERAGE(Table72[DSL Platform Java])</f>
        <v>171.4</v>
      </c>
      <c r="K38" s="2">
        <f>AVERAGE(Table72[Genson])</f>
        <v>211.8</v>
      </c>
      <c r="L38" s="2" t="e">
        <f>AVERAGE(Table72[Boon])</f>
        <v>#DIV/0!</v>
      </c>
      <c r="M38" s="2" t="e">
        <f>AVERAGE(Table72[Alibaba])</f>
        <v>#DIV/0!</v>
      </c>
      <c r="N38" s="2">
        <f>AVERAGE(Table72[Gson])</f>
        <v>223.4</v>
      </c>
      <c r="O38" s="2"/>
      <c r="P38" s="2"/>
      <c r="Q38" s="2"/>
    </row>
    <row r="39" spans="2:17" x14ac:dyDescent="0.25">
      <c r="B39" t="s">
        <v>0</v>
      </c>
      <c r="C39" s="2">
        <f>AVERAGE(Table71[Newtonsoft]) - C38</f>
        <v>7554.7999999999993</v>
      </c>
      <c r="D39" s="2">
        <f>AVERAGE(Table71[Revenj]) - D38</f>
        <v>2867</v>
      </c>
      <c r="E39" s="2" t="e">
        <f>AVERAGE(Table71[fastJSON]) - E38</f>
        <v>#DIV/0!</v>
      </c>
      <c r="F39" s="2">
        <f>AVERAGE(Table71[Service Stack]) - F38</f>
        <v>8357.2000000000007</v>
      </c>
      <c r="G39" s="2" t="e">
        <f>AVERAGE(Table71[Jil]) - G38</f>
        <v>#DIV/0!</v>
      </c>
      <c r="H39" s="2" t="e">
        <f>AVERAGE(Table71[NetJSON]) - H38</f>
        <v>#DIV/0!</v>
      </c>
      <c r="I39" s="2">
        <f>AVERAGE(Table71[Jackson]) - I38</f>
        <v>2931.2</v>
      </c>
      <c r="J39" s="2">
        <f>AVERAGE(Table71[DSL Platform Java]) - J38</f>
        <v>947.00000000000011</v>
      </c>
      <c r="K39" s="2">
        <f>AVERAGE(Table71[Genson]) - K38</f>
        <v>6792</v>
      </c>
      <c r="L39" s="2" t="e">
        <f>AVERAGE(Table71[Boon]) - L38</f>
        <v>#DIV/0!</v>
      </c>
      <c r="M39" s="2" t="e">
        <f>AVERAGE(Table71[Alibaba]) - M38</f>
        <v>#DIV/0!</v>
      </c>
      <c r="N39" s="2">
        <f>AVERAGE(Table71[Gson]) - N38</f>
        <v>6819.4000000000005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13825.400000000001</v>
      </c>
      <c r="D40" s="2">
        <f t="shared" si="0"/>
        <v>6121.0000000000009</v>
      </c>
      <c r="E40" s="2" t="e">
        <f t="shared" ref="E40" si="1">E41 - E39 - E38</f>
        <v>#DIV/0!</v>
      </c>
      <c r="F40" s="2">
        <f t="shared" si="0"/>
        <v>12019.8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6485.6</v>
      </c>
      <c r="J40" s="2">
        <f t="shared" ref="J40" si="3">J41 - J39 - J38</f>
        <v>1291.5999999999999</v>
      </c>
      <c r="K40" s="2" t="e">
        <f t="shared" ref="K40:L40" si="4">K41 - K39 - K38</f>
        <v>#VALUE!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9021.6</v>
      </c>
      <c r="O40" s="2"/>
      <c r="P40" s="2"/>
      <c r="Q40" s="2"/>
    </row>
    <row r="41" spans="2:17" x14ac:dyDescent="0.25">
      <c r="B41" t="s">
        <v>25</v>
      </c>
      <c r="C41" s="2">
        <f>AVERAGE(Table73[Newtonsoft])</f>
        <v>23695.200000000001</v>
      </c>
      <c r="D41" s="2">
        <f>AVERAGE(Table73[Revenj])</f>
        <v>11267.2</v>
      </c>
      <c r="E41" s="2" t="e">
        <f>AVERAGE(Table73[fastJSON])</f>
        <v>#DIV/0!</v>
      </c>
      <c r="F41" s="2">
        <f>AVERAGE(Table73[Service Stack])</f>
        <v>22670</v>
      </c>
      <c r="G41" s="2" t="e">
        <f>AVERAGE(Table73[Jil])</f>
        <v>#DIV/0!</v>
      </c>
      <c r="H41" s="2" t="e">
        <f>AVERAGE(Table73[NetJSON])</f>
        <v>#DIV/0!</v>
      </c>
      <c r="I41" s="2">
        <f>AVERAGE(Table73[Jackson])</f>
        <v>9640.6</v>
      </c>
      <c r="J41" s="2">
        <f>AVERAGE(Table73[DSL Platform Java])</f>
        <v>2410</v>
      </c>
      <c r="K41" s="4" t="s">
        <v>53</v>
      </c>
      <c r="L41" s="2" t="e">
        <f>AVERAGE(Table73[Boon])</f>
        <v>#DIV/0!</v>
      </c>
      <c r="M41" s="2" t="e">
        <f>AVERAGE(Table73[Alibaba])</f>
        <v>#DIV/0!</v>
      </c>
      <c r="N41" s="2">
        <f>AVERAGE(Table73[Gson])</f>
        <v>16064.4</v>
      </c>
      <c r="O41" s="2"/>
      <c r="P41" s="2"/>
      <c r="Q41" s="2"/>
    </row>
    <row r="42" spans="2:17" x14ac:dyDescent="0.25">
      <c r="B42" t="s">
        <v>4</v>
      </c>
      <c r="C42" s="3">
        <f>AVERAGE(Table71[Newtonsoft (size)])</f>
        <v>240923562</v>
      </c>
      <c r="D42" s="3">
        <f>AVERAGE(Table71[Revenj (size)])</f>
        <v>198474556</v>
      </c>
      <c r="E42" s="3" t="e">
        <f>AVERAGE(Table71[fastJSON (size)])</f>
        <v>#DIV/0!</v>
      </c>
      <c r="F42" s="3">
        <f>AVERAGE(Table71[Service Stack (size)])</f>
        <v>192142631</v>
      </c>
      <c r="G42" s="2" t="e">
        <f>AVERAGE(Table71[Jil (size)])</f>
        <v>#DIV/0!</v>
      </c>
      <c r="H42" s="2" t="e">
        <f>AVERAGE(Table71[NetJSON (size)])</f>
        <v>#DIV/0!</v>
      </c>
      <c r="I42" s="2">
        <f>AVERAGE(Table71[Jackson (size)])</f>
        <v>194474556</v>
      </c>
      <c r="J42" s="2">
        <f>AVERAGE(Table71[DSL Platform Java (size)])</f>
        <v>194474556</v>
      </c>
      <c r="K42" s="2">
        <f>AVERAGE(Table71[Genson (size)])</f>
        <v>226056893</v>
      </c>
      <c r="L42" s="2" t="e">
        <f>AVERAGE(Table71[Boon (size)])</f>
        <v>#DIV/0!</v>
      </c>
      <c r="M42" s="2" t="e">
        <f>AVERAGE(Table71[Alibaba (size)])</f>
        <v>#DIV/0!</v>
      </c>
      <c r="N42" s="2">
        <f>AVERAGE(Table71[Gson (size)])</f>
        <v>194475967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DEVSQ(Table71[Newtonsoft])</f>
        <v>4760.8</v>
      </c>
      <c r="D47" s="2">
        <f>DEVSQ(Table71[Revenj])</f>
        <v>39106.799999999996</v>
      </c>
      <c r="E47" s="2" t="e">
        <f>DEVSQ(Table71[fastJSON])</f>
        <v>#NUM!</v>
      </c>
      <c r="F47" s="2">
        <f>DEVSQ(Table71[Service Stack])</f>
        <v>7590.8</v>
      </c>
      <c r="G47" s="2" t="e">
        <f>DEVSQ(Table71[Jil])</f>
        <v>#NUM!</v>
      </c>
      <c r="H47" s="2" t="e">
        <f>DEVSQ(Table71[NetJSON])</f>
        <v>#NUM!</v>
      </c>
      <c r="I47" s="2">
        <f>DEVSQ(Table71[Jackson])</f>
        <v>15804</v>
      </c>
      <c r="J47" s="2">
        <f>DEVSQ(Table71[DSL Platform Java])</f>
        <v>2433.1999999999998</v>
      </c>
      <c r="K47" s="2">
        <f>DEVSQ(Table71[Genson])</f>
        <v>52164.800000000003</v>
      </c>
      <c r="L47" s="2" t="e">
        <f>DEVSQ(Table71[Boon])</f>
        <v>#NUM!</v>
      </c>
      <c r="M47" s="2" t="e">
        <f>DEVSQ(Table71[Alibaba])</f>
        <v>#NUM!</v>
      </c>
      <c r="N47" s="2">
        <f>DEVSQ(Table71[Gson])</f>
        <v>6364.8</v>
      </c>
      <c r="O47" s="2"/>
      <c r="P47" s="2"/>
      <c r="Q47" s="2"/>
    </row>
    <row r="48" spans="2:17" x14ac:dyDescent="0.25">
      <c r="B48" t="s">
        <v>25</v>
      </c>
      <c r="C48" s="2">
        <f>DEVSQ(Table73[Newtonsoft])</f>
        <v>10346.800000000001</v>
      </c>
      <c r="D48" s="2">
        <f>DEVSQ(Table73[Revenj])</f>
        <v>43158.8</v>
      </c>
      <c r="E48" s="2" t="e">
        <f>DEVSQ(Table73[fastJSON])</f>
        <v>#NUM!</v>
      </c>
      <c r="F48" s="2">
        <f>DEVSQ(Table73[Service Stack])</f>
        <v>26414</v>
      </c>
      <c r="G48" s="2" t="e">
        <f>DEVSQ(Table73[Jil])</f>
        <v>#NUM!</v>
      </c>
      <c r="H48" s="2" t="e">
        <f>DEVSQ(Table73[NetJSON])</f>
        <v>#NUM!</v>
      </c>
      <c r="I48" s="2">
        <f>DEVSQ(Table73[Jackson])</f>
        <v>3779.2000000000003</v>
      </c>
      <c r="J48" s="2">
        <f>DEVSQ(Table73[DSL Platform Java])</f>
        <v>6478</v>
      </c>
      <c r="K48" s="2">
        <f>DEVSQ(Table73[Genson])</f>
        <v>58025.19999999999</v>
      </c>
      <c r="L48" s="2" t="e">
        <f>DEVSQ(Table73[Boon])</f>
        <v>#NUM!</v>
      </c>
      <c r="M48" s="2" t="e">
        <f>DEVSQ(Table73[Alibaba])</f>
        <v>#NUM!</v>
      </c>
      <c r="N48" s="2">
        <f>DEVSQ(Table73[Gson])</f>
        <v>117967.2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2311</v>
      </c>
      <c r="C52">
        <v>2280</v>
      </c>
      <c r="E52">
        <v>2286</v>
      </c>
      <c r="H52">
        <v>222</v>
      </c>
      <c r="I52">
        <v>171</v>
      </c>
      <c r="J52">
        <v>210</v>
      </c>
      <c r="M52">
        <v>224</v>
      </c>
    </row>
    <row r="53" spans="2:25" x14ac:dyDescent="0.25">
      <c r="B53">
        <v>2316</v>
      </c>
      <c r="C53">
        <v>2272</v>
      </c>
      <c r="E53">
        <v>2283</v>
      </c>
      <c r="H53">
        <v>226</v>
      </c>
      <c r="I53">
        <v>173</v>
      </c>
      <c r="J53">
        <v>216</v>
      </c>
      <c r="M53">
        <v>225</v>
      </c>
    </row>
    <row r="54" spans="2:25" x14ac:dyDescent="0.25">
      <c r="B54">
        <v>2327</v>
      </c>
      <c r="C54">
        <v>2284</v>
      </c>
      <c r="E54">
        <v>2280</v>
      </c>
      <c r="H54">
        <v>225</v>
      </c>
      <c r="I54">
        <v>174</v>
      </c>
      <c r="J54">
        <v>213</v>
      </c>
      <c r="M54">
        <v>224</v>
      </c>
    </row>
    <row r="55" spans="2:25" x14ac:dyDescent="0.25">
      <c r="B55">
        <v>2311</v>
      </c>
      <c r="C55">
        <v>2285</v>
      </c>
      <c r="E55">
        <v>2298</v>
      </c>
      <c r="H55">
        <v>224</v>
      </c>
      <c r="I55">
        <v>169</v>
      </c>
      <c r="J55">
        <v>210</v>
      </c>
      <c r="M55">
        <v>221</v>
      </c>
    </row>
    <row r="56" spans="2:25" x14ac:dyDescent="0.25">
      <c r="B56">
        <v>2310</v>
      </c>
      <c r="C56">
        <v>2275</v>
      </c>
      <c r="E56">
        <v>2318</v>
      </c>
      <c r="H56">
        <v>222</v>
      </c>
      <c r="I56">
        <v>170</v>
      </c>
      <c r="J56">
        <v>210</v>
      </c>
      <c r="M56">
        <v>223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9860</v>
      </c>
      <c r="C60">
        <v>5094</v>
      </c>
      <c r="E60">
        <v>10661</v>
      </c>
      <c r="H60">
        <v>3055</v>
      </c>
      <c r="I60">
        <v>1159</v>
      </c>
      <c r="J60">
        <v>6888</v>
      </c>
      <c r="M60">
        <v>7012</v>
      </c>
      <c r="N60">
        <v>238523562</v>
      </c>
      <c r="O60">
        <v>198474556</v>
      </c>
      <c r="Q60">
        <v>192142631</v>
      </c>
      <c r="T60">
        <v>194474556</v>
      </c>
      <c r="U60">
        <v>194474556</v>
      </c>
      <c r="V60">
        <v>226056893</v>
      </c>
      <c r="Y60">
        <v>194475967</v>
      </c>
    </row>
    <row r="61" spans="2:25" x14ac:dyDescent="0.25">
      <c r="B61">
        <v>9816</v>
      </c>
      <c r="C61">
        <v>5321</v>
      </c>
      <c r="E61">
        <v>10707</v>
      </c>
      <c r="H61">
        <v>3220</v>
      </c>
      <c r="I61">
        <v>1102</v>
      </c>
      <c r="J61">
        <v>6973</v>
      </c>
      <c r="M61">
        <v>7077</v>
      </c>
      <c r="N61">
        <v>241523562</v>
      </c>
      <c r="O61">
        <v>198474556</v>
      </c>
      <c r="Q61">
        <v>192142631</v>
      </c>
      <c r="T61">
        <v>194474556</v>
      </c>
      <c r="U61">
        <v>194474556</v>
      </c>
      <c r="V61">
        <v>226056893</v>
      </c>
      <c r="Y61">
        <v>194475967</v>
      </c>
    </row>
    <row r="62" spans="2:25" x14ac:dyDescent="0.25">
      <c r="B62">
        <v>9876</v>
      </c>
      <c r="C62">
        <v>5102</v>
      </c>
      <c r="E62">
        <v>10634</v>
      </c>
      <c r="H62">
        <v>3194</v>
      </c>
      <c r="I62">
        <v>1115</v>
      </c>
      <c r="J62">
        <v>6914</v>
      </c>
      <c r="M62">
        <v>7081</v>
      </c>
      <c r="N62">
        <v>241523562</v>
      </c>
      <c r="O62">
        <v>198474556</v>
      </c>
      <c r="Q62">
        <v>192142631</v>
      </c>
      <c r="T62">
        <v>194474556</v>
      </c>
      <c r="U62">
        <v>194474556</v>
      </c>
      <c r="V62">
        <v>226056893</v>
      </c>
      <c r="Y62">
        <v>194475967</v>
      </c>
    </row>
    <row r="63" spans="2:25" x14ac:dyDescent="0.25">
      <c r="B63">
        <v>9892</v>
      </c>
      <c r="C63">
        <v>5127</v>
      </c>
      <c r="E63">
        <v>10588</v>
      </c>
      <c r="H63">
        <v>3148</v>
      </c>
      <c r="I63">
        <v>1096</v>
      </c>
      <c r="J63">
        <v>7092</v>
      </c>
      <c r="M63">
        <v>6991</v>
      </c>
      <c r="N63">
        <v>241523562</v>
      </c>
      <c r="O63">
        <v>198474556</v>
      </c>
      <c r="Q63">
        <v>192142631</v>
      </c>
      <c r="T63">
        <v>194474556</v>
      </c>
      <c r="U63">
        <v>194474556</v>
      </c>
      <c r="V63">
        <v>226056893</v>
      </c>
      <c r="Y63">
        <v>194475967</v>
      </c>
    </row>
    <row r="64" spans="2:25" x14ac:dyDescent="0.25">
      <c r="B64">
        <v>9905</v>
      </c>
      <c r="C64">
        <v>5087</v>
      </c>
      <c r="E64">
        <v>10661</v>
      </c>
      <c r="H64">
        <v>3158</v>
      </c>
      <c r="I64">
        <v>1120</v>
      </c>
      <c r="J64">
        <v>7152</v>
      </c>
      <c r="M64">
        <v>7053</v>
      </c>
      <c r="N64">
        <v>241523562</v>
      </c>
      <c r="O64">
        <v>198474556</v>
      </c>
      <c r="Q64">
        <v>192142631</v>
      </c>
      <c r="T64">
        <v>194474556</v>
      </c>
      <c r="U64">
        <v>194474556</v>
      </c>
      <c r="V64">
        <v>226056893</v>
      </c>
      <c r="Y64">
        <v>194475967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23756</v>
      </c>
      <c r="C68">
        <v>11294</v>
      </c>
      <c r="E68">
        <v>22768</v>
      </c>
      <c r="H68">
        <v>9665</v>
      </c>
      <c r="I68">
        <v>2439</v>
      </c>
      <c r="J68">
        <v>13581</v>
      </c>
      <c r="M68">
        <v>16349</v>
      </c>
    </row>
    <row r="69" spans="2:13" x14ac:dyDescent="0.25">
      <c r="B69">
        <v>23638</v>
      </c>
      <c r="C69">
        <v>11436</v>
      </c>
      <c r="E69">
        <v>22713</v>
      </c>
      <c r="H69">
        <v>9653</v>
      </c>
      <c r="I69">
        <v>2362</v>
      </c>
      <c r="J69">
        <v>13253</v>
      </c>
      <c r="M69">
        <v>15977</v>
      </c>
    </row>
    <row r="70" spans="2:13" x14ac:dyDescent="0.25">
      <c r="B70">
        <v>23707</v>
      </c>
      <c r="C70">
        <v>11191</v>
      </c>
      <c r="E70">
        <v>22557</v>
      </c>
      <c r="H70">
        <v>9601</v>
      </c>
      <c r="I70">
        <v>2462</v>
      </c>
      <c r="J70">
        <v>13470</v>
      </c>
      <c r="M70">
        <v>15977</v>
      </c>
    </row>
    <row r="71" spans="2:13" x14ac:dyDescent="0.25">
      <c r="B71">
        <v>23648</v>
      </c>
      <c r="C71">
        <v>11230</v>
      </c>
      <c r="E71">
        <v>22686</v>
      </c>
      <c r="H71">
        <v>9669</v>
      </c>
      <c r="I71">
        <v>2387</v>
      </c>
      <c r="J71">
        <v>13480</v>
      </c>
      <c r="M71">
        <v>15921</v>
      </c>
    </row>
    <row r="72" spans="2:13" x14ac:dyDescent="0.25">
      <c r="B72">
        <v>23727</v>
      </c>
      <c r="C72">
        <v>11185</v>
      </c>
      <c r="E72">
        <v>22626</v>
      </c>
      <c r="H72">
        <v>9615</v>
      </c>
      <c r="I72">
        <v>2400</v>
      </c>
      <c r="J72">
        <v>13414</v>
      </c>
      <c r="M72">
        <v>16098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72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48</v>
      </c>
    </row>
    <row r="37" spans="2:17" x14ac:dyDescent="0.25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AVERAGE(Table77[Newtonsoft])</f>
        <v>928.6</v>
      </c>
      <c r="D38" s="2">
        <f>AVERAGE(Table77[Revenj])</f>
        <v>937.4</v>
      </c>
      <c r="E38" s="2" t="e">
        <f>AVERAGE(Table77[fastJSON])</f>
        <v>#DIV/0!</v>
      </c>
      <c r="F38" s="2">
        <f>AVERAGE(Table77[Service Stack])</f>
        <v>936.2</v>
      </c>
      <c r="G38" s="2" t="e">
        <f>AVERAGE(Table77[Jil])</f>
        <v>#DIV/0!</v>
      </c>
      <c r="H38" s="2" t="e">
        <f>AVERAGE(Table77[NetJSON])</f>
        <v>#DIV/0!</v>
      </c>
      <c r="I38" s="2">
        <f>AVERAGE(Table77[Jackson])</f>
        <v>253.2</v>
      </c>
      <c r="J38" s="2">
        <f>AVERAGE(Table77[DSL Platform Java])</f>
        <v>251.6</v>
      </c>
      <c r="K38" s="2">
        <f>AVERAGE(Table77[Genson])</f>
        <v>250.6</v>
      </c>
      <c r="L38" s="2" t="e">
        <f>AVERAGE(Table77[Boon])</f>
        <v>#DIV/0!</v>
      </c>
      <c r="M38" s="2" t="e">
        <f>AVERAGE(Table77[Alibaba])</f>
        <v>#DIV/0!</v>
      </c>
      <c r="N38" s="2">
        <f>AVERAGE(Table77[Gson])</f>
        <v>252.4</v>
      </c>
      <c r="O38" s="2"/>
      <c r="P38" s="2"/>
      <c r="Q38" s="2"/>
    </row>
    <row r="39" spans="2:17" x14ac:dyDescent="0.25">
      <c r="B39" t="s">
        <v>0</v>
      </c>
      <c r="C39" s="2">
        <f>AVERAGE(Table76[Newtonsoft]) - C38</f>
        <v>2283.2000000000003</v>
      </c>
      <c r="D39" s="2">
        <f>AVERAGE(Table76[Revenj]) - D38</f>
        <v>636.80000000000007</v>
      </c>
      <c r="E39" s="2" t="e">
        <f>AVERAGE(Table76[fastJSON]) - E38</f>
        <v>#DIV/0!</v>
      </c>
      <c r="F39" s="2">
        <f>AVERAGE(Table76[Service Stack]) - F38</f>
        <v>2121.3999999999996</v>
      </c>
      <c r="G39" s="2" t="e">
        <f>AVERAGE(Table76[Jil]) - G38</f>
        <v>#DIV/0!</v>
      </c>
      <c r="H39" s="2" t="e">
        <f>AVERAGE(Table76[NetJSON]) - H38</f>
        <v>#DIV/0!</v>
      </c>
      <c r="I39" s="2">
        <f>AVERAGE(Table76[Jackson]) - I38</f>
        <v>1099.8</v>
      </c>
      <c r="J39" s="2">
        <f>AVERAGE(Table76[DSL Platform Java]) - J38</f>
        <v>448</v>
      </c>
      <c r="K39" s="2">
        <f>AVERAGE(Table76[Genson]) - K38</f>
        <v>1262.6000000000001</v>
      </c>
      <c r="L39" s="2" t="e">
        <f>AVERAGE(Table76[Boon]) - L38</f>
        <v>#DIV/0!</v>
      </c>
      <c r="M39" s="2" t="e">
        <f>AVERAGE(Table76[Alibaba]) - M38</f>
        <v>#DIV/0!</v>
      </c>
      <c r="N39" s="2">
        <f>AVERAGE(Table76[Gson]) - N38</f>
        <v>2190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3033.8</v>
      </c>
      <c r="D40" s="2">
        <f t="shared" si="0"/>
        <v>1199.3999999999996</v>
      </c>
      <c r="E40" s="2" t="e">
        <f t="shared" ref="E40" si="1">E41 - E39 - E38</f>
        <v>#DIV/0!</v>
      </c>
      <c r="F40" s="2">
        <f t="shared" si="0"/>
        <v>3536.0000000000009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1899.9999999999998</v>
      </c>
      <c r="J40" s="2">
        <f t="shared" ref="J40" si="3">J41 - J39 - J38</f>
        <v>294</v>
      </c>
      <c r="K40" s="2" t="e">
        <f t="shared" ref="K40:L40" si="4">K41 - K39 - K38</f>
        <v>#VALUE!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2167.2000000000003</v>
      </c>
      <c r="O40" s="2"/>
      <c r="P40" s="2"/>
      <c r="Q40" s="2"/>
    </row>
    <row r="41" spans="2:17" x14ac:dyDescent="0.25">
      <c r="B41" t="s">
        <v>25</v>
      </c>
      <c r="C41" s="2">
        <f>AVERAGE(Table78[Newtonsoft])</f>
        <v>6245.6</v>
      </c>
      <c r="D41" s="2">
        <f>AVERAGE(Table78[Revenj])</f>
        <v>2773.6</v>
      </c>
      <c r="E41" s="2" t="e">
        <f>AVERAGE(Table78[fastJSON])</f>
        <v>#DIV/0!</v>
      </c>
      <c r="F41" s="2">
        <f>AVERAGE(Table78[Service Stack])</f>
        <v>6593.6</v>
      </c>
      <c r="G41" s="2" t="e">
        <f>AVERAGE(Table78[Jil])</f>
        <v>#DIV/0!</v>
      </c>
      <c r="H41" s="2" t="e">
        <f>AVERAGE(Table78[NetJSON])</f>
        <v>#DIV/0!</v>
      </c>
      <c r="I41" s="2">
        <f>AVERAGE(Table78[Jackson])</f>
        <v>3253</v>
      </c>
      <c r="J41" s="2">
        <f>AVERAGE(Table78[DSL Platform Java])</f>
        <v>993.6</v>
      </c>
      <c r="K41" s="4" t="s">
        <v>53</v>
      </c>
      <c r="L41" s="2" t="e">
        <f>AVERAGE(Table78[Boon])</f>
        <v>#DIV/0!</v>
      </c>
      <c r="M41" s="2" t="e">
        <f>AVERAGE(Table78[Alibaba])</f>
        <v>#DIV/0!</v>
      </c>
      <c r="N41" s="2">
        <f>AVERAGE(Table78[Gson])</f>
        <v>4609.6000000000004</v>
      </c>
      <c r="O41" s="2"/>
      <c r="P41" s="2"/>
      <c r="Q41" s="2"/>
    </row>
    <row r="42" spans="2:17" x14ac:dyDescent="0.25">
      <c r="B42" t="s">
        <v>4</v>
      </c>
      <c r="C42" s="3">
        <f>AVERAGE(Table76[Newtonsoft (size)])</f>
        <v>84221352</v>
      </c>
      <c r="D42" s="3">
        <f>AVERAGE(Table76[Revenj (size)])</f>
        <v>73494967</v>
      </c>
      <c r="E42" s="3" t="e">
        <f>AVERAGE(Table76[fastJSON (size)])</f>
        <v>#DIV/0!</v>
      </c>
      <c r="F42" s="3">
        <f>AVERAGE(Table76[Service Stack (size)])</f>
        <v>79509317</v>
      </c>
      <c r="G42" s="2" t="e">
        <f>AVERAGE(Table76[Jil (size)])</f>
        <v>#DIV/0!</v>
      </c>
      <c r="H42" s="2" t="e">
        <f>AVERAGE(Table76[NetJSON (size)])</f>
        <v>#DIV/0!</v>
      </c>
      <c r="I42" s="2">
        <f>AVERAGE(Table76[Jackson (size)])</f>
        <v>72855111</v>
      </c>
      <c r="J42" s="2">
        <f>AVERAGE(Table76[DSL Platform Java (size)])</f>
        <v>72799435</v>
      </c>
      <c r="K42" s="2">
        <f>AVERAGE(Table76[Genson (size)])</f>
        <v>76301917</v>
      </c>
      <c r="L42" s="2" t="e">
        <f>AVERAGE(Table76[Boon (size)])</f>
        <v>#DIV/0!</v>
      </c>
      <c r="M42" s="2" t="e">
        <f>AVERAGE(Table76[Alibaba (size)])</f>
        <v>#DIV/0!</v>
      </c>
      <c r="N42" s="2">
        <f>AVERAGE(Table76[Gson (size)])</f>
        <v>73117617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DEVSQ(Table76[Newtonsoft])</f>
        <v>7988.8</v>
      </c>
      <c r="D47" s="2">
        <f>DEVSQ(Table76[Revenj])</f>
        <v>30.799999999999994</v>
      </c>
      <c r="E47" s="2" t="e">
        <f>DEVSQ(Table76[fastJSON])</f>
        <v>#NUM!</v>
      </c>
      <c r="F47" s="2">
        <f>DEVSQ(Table76[Service Stack])</f>
        <v>371.20000000000005</v>
      </c>
      <c r="G47" s="2" t="e">
        <f>DEVSQ(Table76[Jil])</f>
        <v>#NUM!</v>
      </c>
      <c r="H47" s="2" t="e">
        <f>DEVSQ(Table76[NetJSON])</f>
        <v>#NUM!</v>
      </c>
      <c r="I47" s="2">
        <f>DEVSQ(Table76[Jackson])</f>
        <v>406</v>
      </c>
      <c r="J47" s="2">
        <f>DEVSQ(Table76[DSL Platform Java])</f>
        <v>59.2</v>
      </c>
      <c r="K47" s="2">
        <f>DEVSQ(Table76[Genson])</f>
        <v>166.8</v>
      </c>
      <c r="L47" s="2" t="e">
        <f>DEVSQ(Table76[Boon])</f>
        <v>#NUM!</v>
      </c>
      <c r="M47" s="2" t="e">
        <f>DEVSQ(Table76[Alibaba])</f>
        <v>#NUM!</v>
      </c>
      <c r="N47" s="2">
        <f>DEVSQ(Table76[Gson])</f>
        <v>7601.1999999999989</v>
      </c>
      <c r="O47" s="2"/>
      <c r="P47" s="2"/>
      <c r="Q47" s="2"/>
    </row>
    <row r="48" spans="2:17" x14ac:dyDescent="0.25">
      <c r="B48" t="s">
        <v>25</v>
      </c>
      <c r="C48" s="2">
        <f>DEVSQ(Table78[Newtonsoft])</f>
        <v>6389.2000000000007</v>
      </c>
      <c r="D48" s="2">
        <f>DEVSQ(Table78[Revenj])</f>
        <v>237.2</v>
      </c>
      <c r="E48" s="2" t="e">
        <f>DEVSQ(Table78[fastJSON])</f>
        <v>#NUM!</v>
      </c>
      <c r="F48" s="2">
        <f>DEVSQ(Table78[Service Stack])</f>
        <v>679.2</v>
      </c>
      <c r="G48" s="2" t="e">
        <f>DEVSQ(Table78[Jil])</f>
        <v>#NUM!</v>
      </c>
      <c r="H48" s="2" t="e">
        <f>DEVSQ(Table78[NetJSON])</f>
        <v>#NUM!</v>
      </c>
      <c r="I48" s="2">
        <f>DEVSQ(Table78[Jackson])</f>
        <v>9200</v>
      </c>
      <c r="J48" s="2">
        <f>DEVSQ(Table78[DSL Platform Java])</f>
        <v>235.2</v>
      </c>
      <c r="K48" s="2">
        <f>DEVSQ(Table78[Genson])</f>
        <v>7086</v>
      </c>
      <c r="L48" s="2" t="e">
        <f>DEVSQ(Table78[Boon])</f>
        <v>#NUM!</v>
      </c>
      <c r="M48" s="2" t="e">
        <f>DEVSQ(Table78[Alibaba])</f>
        <v>#NUM!</v>
      </c>
      <c r="N48" s="2">
        <f>DEVSQ(Table78[Gson])</f>
        <v>25201.200000000001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942</v>
      </c>
      <c r="C52">
        <v>938</v>
      </c>
      <c r="E52">
        <v>934</v>
      </c>
      <c r="H52">
        <v>251</v>
      </c>
      <c r="I52">
        <v>250</v>
      </c>
      <c r="J52">
        <v>251</v>
      </c>
      <c r="M52">
        <v>250</v>
      </c>
    </row>
    <row r="53" spans="2:25" x14ac:dyDescent="0.25">
      <c r="B53">
        <v>936</v>
      </c>
      <c r="C53">
        <v>938</v>
      </c>
      <c r="E53">
        <v>944</v>
      </c>
      <c r="H53">
        <v>252</v>
      </c>
      <c r="I53">
        <v>255</v>
      </c>
      <c r="J53">
        <v>248</v>
      </c>
      <c r="M53">
        <v>252</v>
      </c>
    </row>
    <row r="54" spans="2:25" x14ac:dyDescent="0.25">
      <c r="B54">
        <v>925</v>
      </c>
      <c r="C54">
        <v>937</v>
      </c>
      <c r="E54">
        <v>932</v>
      </c>
      <c r="H54">
        <v>254</v>
      </c>
      <c r="I54">
        <v>250</v>
      </c>
      <c r="J54">
        <v>251</v>
      </c>
      <c r="M54">
        <v>252</v>
      </c>
    </row>
    <row r="55" spans="2:25" x14ac:dyDescent="0.25">
      <c r="B55">
        <v>917</v>
      </c>
      <c r="C55">
        <v>936</v>
      </c>
      <c r="E55">
        <v>936</v>
      </c>
      <c r="H55">
        <v>252</v>
      </c>
      <c r="I55">
        <v>251</v>
      </c>
      <c r="J55">
        <v>250</v>
      </c>
      <c r="M55">
        <v>256</v>
      </c>
    </row>
    <row r="56" spans="2:25" x14ac:dyDescent="0.25">
      <c r="B56">
        <v>923</v>
      </c>
      <c r="C56">
        <v>938</v>
      </c>
      <c r="E56">
        <v>935</v>
      </c>
      <c r="H56">
        <v>257</v>
      </c>
      <c r="I56">
        <v>252</v>
      </c>
      <c r="J56">
        <v>253</v>
      </c>
      <c r="M56">
        <v>252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3191</v>
      </c>
      <c r="C60">
        <v>1573</v>
      </c>
      <c r="E60">
        <v>3069</v>
      </c>
      <c r="H60">
        <v>1349</v>
      </c>
      <c r="I60">
        <v>701</v>
      </c>
      <c r="J60">
        <v>1504</v>
      </c>
      <c r="M60">
        <v>2439</v>
      </c>
      <c r="N60">
        <v>84221352</v>
      </c>
      <c r="O60">
        <v>73494967</v>
      </c>
      <c r="Q60">
        <v>79509317</v>
      </c>
      <c r="T60">
        <v>72855111</v>
      </c>
      <c r="U60">
        <v>72796487</v>
      </c>
      <c r="V60">
        <v>76301917</v>
      </c>
      <c r="Y60">
        <v>73117617</v>
      </c>
    </row>
    <row r="61" spans="2:25" x14ac:dyDescent="0.25">
      <c r="B61">
        <v>3169</v>
      </c>
      <c r="C61">
        <v>1570</v>
      </c>
      <c r="E61">
        <v>3047</v>
      </c>
      <c r="H61">
        <v>1352</v>
      </c>
      <c r="I61">
        <v>705</v>
      </c>
      <c r="J61">
        <v>1515</v>
      </c>
      <c r="M61">
        <v>2515</v>
      </c>
      <c r="N61">
        <v>84221352</v>
      </c>
      <c r="O61">
        <v>73494967</v>
      </c>
      <c r="Q61">
        <v>79509317</v>
      </c>
      <c r="T61">
        <v>72855111</v>
      </c>
      <c r="U61">
        <v>72798247</v>
      </c>
      <c r="V61">
        <v>76301917</v>
      </c>
      <c r="Y61">
        <v>73117617</v>
      </c>
    </row>
    <row r="62" spans="2:25" x14ac:dyDescent="0.25">
      <c r="B62">
        <v>3259</v>
      </c>
      <c r="C62">
        <v>1577</v>
      </c>
      <c r="E62">
        <v>3049</v>
      </c>
      <c r="H62">
        <v>1339</v>
      </c>
      <c r="I62">
        <v>695</v>
      </c>
      <c r="J62">
        <v>1521</v>
      </c>
      <c r="M62">
        <v>2420</v>
      </c>
      <c r="N62">
        <v>84221352</v>
      </c>
      <c r="O62">
        <v>73494967</v>
      </c>
      <c r="Q62">
        <v>79509317</v>
      </c>
      <c r="T62">
        <v>72855111</v>
      </c>
      <c r="U62">
        <v>72800887</v>
      </c>
      <c r="V62">
        <v>76301917</v>
      </c>
      <c r="Y62">
        <v>73117617</v>
      </c>
    </row>
    <row r="63" spans="2:25" x14ac:dyDescent="0.25">
      <c r="B63">
        <v>3179</v>
      </c>
      <c r="C63">
        <v>1576</v>
      </c>
      <c r="E63">
        <v>3065</v>
      </c>
      <c r="H63">
        <v>1365</v>
      </c>
      <c r="I63">
        <v>697</v>
      </c>
      <c r="J63">
        <v>1510</v>
      </c>
      <c r="M63">
        <v>2400</v>
      </c>
      <c r="N63">
        <v>84221352</v>
      </c>
      <c r="O63">
        <v>73494967</v>
      </c>
      <c r="Q63">
        <v>79509317</v>
      </c>
      <c r="T63">
        <v>72855111</v>
      </c>
      <c r="U63">
        <v>72801547</v>
      </c>
      <c r="V63">
        <v>76301917</v>
      </c>
      <c r="Y63">
        <v>73117617</v>
      </c>
    </row>
    <row r="64" spans="2:25" x14ac:dyDescent="0.25">
      <c r="B64">
        <v>3261</v>
      </c>
      <c r="C64">
        <v>1575</v>
      </c>
      <c r="E64">
        <v>3058</v>
      </c>
      <c r="H64">
        <v>1360</v>
      </c>
      <c r="I64">
        <v>700</v>
      </c>
      <c r="J64">
        <v>1516</v>
      </c>
      <c r="M64">
        <v>2438</v>
      </c>
      <c r="N64">
        <v>84221352</v>
      </c>
      <c r="O64">
        <v>73494967</v>
      </c>
      <c r="Q64">
        <v>79509317</v>
      </c>
      <c r="T64">
        <v>72855111</v>
      </c>
      <c r="U64">
        <v>72800007</v>
      </c>
      <c r="V64">
        <v>76301917</v>
      </c>
      <c r="Y64">
        <v>73117617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6273</v>
      </c>
      <c r="C68">
        <v>2767</v>
      </c>
      <c r="E68">
        <v>6605</v>
      </c>
      <c r="H68">
        <v>3323</v>
      </c>
      <c r="I68">
        <v>1004</v>
      </c>
      <c r="J68">
        <v>2359</v>
      </c>
      <c r="M68">
        <v>4565</v>
      </c>
    </row>
    <row r="69" spans="2:13" x14ac:dyDescent="0.25">
      <c r="B69">
        <v>6302</v>
      </c>
      <c r="C69">
        <v>2778</v>
      </c>
      <c r="E69">
        <v>6595</v>
      </c>
      <c r="H69">
        <v>3239</v>
      </c>
      <c r="I69">
        <v>992</v>
      </c>
      <c r="J69">
        <v>2266</v>
      </c>
      <c r="M69">
        <v>4678</v>
      </c>
    </row>
    <row r="70" spans="2:13" x14ac:dyDescent="0.25">
      <c r="B70">
        <v>6211</v>
      </c>
      <c r="C70">
        <v>2782</v>
      </c>
      <c r="E70">
        <v>6577</v>
      </c>
      <c r="H70">
        <v>3275</v>
      </c>
      <c r="I70">
        <v>998</v>
      </c>
      <c r="J70">
        <v>2273</v>
      </c>
      <c r="M70">
        <v>4610</v>
      </c>
    </row>
    <row r="71" spans="2:13" x14ac:dyDescent="0.25">
      <c r="B71">
        <v>6216</v>
      </c>
      <c r="C71">
        <v>2777</v>
      </c>
      <c r="E71">
        <v>6607</v>
      </c>
      <c r="H71">
        <v>3197</v>
      </c>
      <c r="I71">
        <v>984</v>
      </c>
      <c r="J71">
        <v>2254</v>
      </c>
      <c r="M71">
        <v>4693</v>
      </c>
    </row>
    <row r="72" spans="2:13" x14ac:dyDescent="0.25">
      <c r="B72">
        <v>6226</v>
      </c>
      <c r="C72">
        <v>2764</v>
      </c>
      <c r="E72">
        <v>6584</v>
      </c>
      <c r="H72">
        <v>3231</v>
      </c>
      <c r="I72">
        <v>990</v>
      </c>
      <c r="J72">
        <v>2273</v>
      </c>
      <c r="M72">
        <v>4502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72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49</v>
      </c>
    </row>
    <row r="37" spans="2:17" x14ac:dyDescent="0.25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AVERAGE(Table82[Newtonsoft])</f>
        <v>8674.6</v>
      </c>
      <c r="D38" s="2">
        <f>AVERAGE(Table82[Revenj])</f>
        <v>8787.6</v>
      </c>
      <c r="E38" s="2" t="e">
        <f>AVERAGE(Table82[fastJSON])</f>
        <v>#DIV/0!</v>
      </c>
      <c r="F38" s="2">
        <f>AVERAGE(Table82[Service Stack])</f>
        <v>8807.2000000000007</v>
      </c>
      <c r="G38" s="2" t="e">
        <f>AVERAGE(Table82[Jil])</f>
        <v>#DIV/0!</v>
      </c>
      <c r="H38" s="2" t="e">
        <f>AVERAGE(Table82[NetJSON])</f>
        <v>#DIV/0!</v>
      </c>
      <c r="I38" s="2">
        <f>AVERAGE(Table82[Jackson])</f>
        <v>1279</v>
      </c>
      <c r="J38" s="2">
        <f>AVERAGE(Table82[DSL Platform Java])</f>
        <v>1286.2</v>
      </c>
      <c r="K38" s="2">
        <f>AVERAGE(Table82[Genson])</f>
        <v>1287.5999999999999</v>
      </c>
      <c r="L38" s="2" t="e">
        <f>AVERAGE(Table82[Boon])</f>
        <v>#DIV/0!</v>
      </c>
      <c r="M38" s="2" t="e">
        <f>AVERAGE(Table82[Alibaba])</f>
        <v>#DIV/0!</v>
      </c>
      <c r="N38" s="2">
        <f>AVERAGE(Table82[Gson])</f>
        <v>1287.8</v>
      </c>
      <c r="O38" s="2"/>
      <c r="P38" s="2"/>
      <c r="Q38" s="2"/>
    </row>
    <row r="39" spans="2:17" x14ac:dyDescent="0.25">
      <c r="B39" t="s">
        <v>0</v>
      </c>
      <c r="C39" s="2">
        <f>AVERAGE(Table81[Newtonsoft]) - C38</f>
        <v>22221.199999999997</v>
      </c>
      <c r="D39" s="2">
        <f>AVERAGE(Table81[Revenj]) - D38</f>
        <v>6325.1999999999989</v>
      </c>
      <c r="E39" s="2" t="e">
        <f>AVERAGE(Table81[fastJSON]) - E38</f>
        <v>#DIV/0!</v>
      </c>
      <c r="F39" s="2">
        <f>AVERAGE(Table81[Service Stack]) - F38</f>
        <v>20943</v>
      </c>
      <c r="G39" s="2" t="e">
        <f>AVERAGE(Table81[Jil]) - G38</f>
        <v>#DIV/0!</v>
      </c>
      <c r="H39" s="2" t="e">
        <f>AVERAGE(Table81[NetJSON]) - H38</f>
        <v>#DIV/0!</v>
      </c>
      <c r="I39" s="2">
        <f>AVERAGE(Table81[Jackson]) - I38</f>
        <v>7891.7999999999993</v>
      </c>
      <c r="J39" s="2">
        <f>AVERAGE(Table81[DSL Platform Java]) - J38</f>
        <v>2247</v>
      </c>
      <c r="K39" s="2">
        <f>AVERAGE(Table81[Genson]) - K38</f>
        <v>9664.6</v>
      </c>
      <c r="L39" s="2" t="e">
        <f>AVERAGE(Table81[Boon]) - L38</f>
        <v>#DIV/0!</v>
      </c>
      <c r="M39" s="2" t="e">
        <f>AVERAGE(Table81[Alibaba]) - M38</f>
        <v>#DIV/0!</v>
      </c>
      <c r="N39" s="2">
        <f>AVERAGE(Table81[Gson]) - N38</f>
        <v>17614.2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30057.800000000003</v>
      </c>
      <c r="D40" s="2">
        <f t="shared" si="0"/>
        <v>11706.600000000004</v>
      </c>
      <c r="E40" s="2" t="e">
        <f t="shared" ref="E40" si="1">E41 - E39 - E38</f>
        <v>#DIV/0!</v>
      </c>
      <c r="F40" s="2">
        <f t="shared" si="0"/>
        <v>35449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16066.600000000002</v>
      </c>
      <c r="J40" s="2">
        <f t="shared" ref="J40" si="3">J41 - J39 - J38</f>
        <v>2572.1999999999998</v>
      </c>
      <c r="K40" s="2" t="e">
        <f t="shared" ref="K40:L40" si="4">K41 - K39 - K38</f>
        <v>#VALUE!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21369.599999999999</v>
      </c>
      <c r="O40" s="2"/>
      <c r="P40" s="2"/>
      <c r="Q40" s="2"/>
    </row>
    <row r="41" spans="2:17" x14ac:dyDescent="0.25">
      <c r="B41" t="s">
        <v>25</v>
      </c>
      <c r="C41" s="2">
        <f>AVERAGE(Table83[Newtonsoft])</f>
        <v>60953.599999999999</v>
      </c>
      <c r="D41" s="2">
        <f>AVERAGE(Table83[Revenj])</f>
        <v>26819.4</v>
      </c>
      <c r="E41" s="2" t="e">
        <f>AVERAGE(Table83[fastJSON])</f>
        <v>#DIV/0!</v>
      </c>
      <c r="F41" s="2">
        <f>AVERAGE(Table83[Service Stack])</f>
        <v>65199.199999999997</v>
      </c>
      <c r="G41" s="2" t="e">
        <f>AVERAGE(Table83[Jil])</f>
        <v>#DIV/0!</v>
      </c>
      <c r="H41" s="2" t="e">
        <f>AVERAGE(Table83[NetJSON])</f>
        <v>#DIV/0!</v>
      </c>
      <c r="I41" s="2">
        <f>AVERAGE(Table83[Jackson])</f>
        <v>25237.4</v>
      </c>
      <c r="J41" s="2">
        <f>AVERAGE(Table83[DSL Platform Java])</f>
        <v>6105.4</v>
      </c>
      <c r="K41" s="4" t="s">
        <v>53</v>
      </c>
      <c r="L41" s="2" t="e">
        <f>AVERAGE(Table83[Boon])</f>
        <v>#DIV/0!</v>
      </c>
      <c r="M41" s="2" t="e">
        <f>AVERAGE(Table83[Alibaba])</f>
        <v>#DIV/0!</v>
      </c>
      <c r="N41" s="2">
        <f>AVERAGE(Table83[Gson])</f>
        <v>40271.599999999999</v>
      </c>
      <c r="O41" s="2"/>
      <c r="P41" s="2"/>
      <c r="Q41" s="2"/>
    </row>
    <row r="42" spans="2:17" x14ac:dyDescent="0.25">
      <c r="B42" t="s">
        <v>4</v>
      </c>
      <c r="C42" s="3">
        <f>AVERAGE(Table81[Newtonsoft (size)])</f>
        <v>852257852</v>
      </c>
      <c r="D42" s="3">
        <f>AVERAGE(Table81[Revenj (size)])</f>
        <v>745341367</v>
      </c>
      <c r="E42" s="3" t="e">
        <f>AVERAGE(Table81[fastJSON (size)])</f>
        <v>#DIV/0!</v>
      </c>
      <c r="F42" s="3">
        <f>AVERAGE(Table81[Service Stack (size)])</f>
        <v>805529997</v>
      </c>
      <c r="G42" s="2" t="e">
        <f>AVERAGE(Table81[Jil (size)])</f>
        <v>#DIV/0!</v>
      </c>
      <c r="H42" s="2" t="e">
        <f>AVERAGE(Table81[NetJSON (size)])</f>
        <v>#DIV/0!</v>
      </c>
      <c r="I42" s="2">
        <f>AVERAGE(Table81[Jackson (size)])</f>
        <v>738942711</v>
      </c>
      <c r="J42" s="2">
        <f>AVERAGE(Table81[DSL Platform Java (size)])</f>
        <v>738360967</v>
      </c>
      <c r="K42" s="2">
        <f>AVERAGE(Table81[Genson (size)])</f>
        <v>773410117</v>
      </c>
      <c r="L42" s="2" t="e">
        <f>AVERAGE(Table81[Boon (size)])</f>
        <v>#DIV/0!</v>
      </c>
      <c r="M42" s="2" t="e">
        <f>AVERAGE(Table81[Alibaba (size)])</f>
        <v>#DIV/0!</v>
      </c>
      <c r="N42" s="2">
        <f>AVERAGE(Table81[Gson (size)])</f>
        <v>741567117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DEVSQ(Table81[Newtonsoft])</f>
        <v>94378.8</v>
      </c>
      <c r="D47" s="2">
        <f>DEVSQ(Table81[Revenj])</f>
        <v>8288.7999999999993</v>
      </c>
      <c r="E47" s="2" t="e">
        <f>DEVSQ(Table81[fastJSON])</f>
        <v>#NUM!</v>
      </c>
      <c r="F47" s="2">
        <f>DEVSQ(Table81[Service Stack])</f>
        <v>47472.800000000003</v>
      </c>
      <c r="G47" s="2" t="e">
        <f>DEVSQ(Table81[Jil])</f>
        <v>#NUM!</v>
      </c>
      <c r="H47" s="2" t="e">
        <f>DEVSQ(Table81[NetJSON])</f>
        <v>#NUM!</v>
      </c>
      <c r="I47" s="2">
        <f>DEVSQ(Table81[Jackson])</f>
        <v>29588.800000000003</v>
      </c>
      <c r="J47" s="2">
        <f>DEVSQ(Table81[DSL Platform Java])</f>
        <v>3172.8</v>
      </c>
      <c r="K47" s="2">
        <f>DEVSQ(Table81[Genson])</f>
        <v>107608.8</v>
      </c>
      <c r="L47" s="2" t="e">
        <f>DEVSQ(Table81[Boon])</f>
        <v>#NUM!</v>
      </c>
      <c r="M47" s="2" t="e">
        <f>DEVSQ(Table81[Alibaba])</f>
        <v>#NUM!</v>
      </c>
      <c r="N47" s="2">
        <f>DEVSQ(Table81[Gson])</f>
        <v>261004</v>
      </c>
      <c r="O47" s="2"/>
      <c r="P47" s="2"/>
      <c r="Q47" s="2"/>
    </row>
    <row r="48" spans="2:17" x14ac:dyDescent="0.25">
      <c r="B48" t="s">
        <v>25</v>
      </c>
      <c r="C48" s="2">
        <f>DEVSQ(Table83[Newtonsoft])</f>
        <v>74053.200000000012</v>
      </c>
      <c r="D48" s="2">
        <f>DEVSQ(Table83[Revenj])</f>
        <v>31855.199999999997</v>
      </c>
      <c r="E48" s="2" t="e">
        <f>DEVSQ(Table83[fastJSON])</f>
        <v>#NUM!</v>
      </c>
      <c r="F48" s="2">
        <f>DEVSQ(Table83[Service Stack])</f>
        <v>87566.799999999988</v>
      </c>
      <c r="G48" s="2" t="e">
        <f>DEVSQ(Table83[Jil])</f>
        <v>#NUM!</v>
      </c>
      <c r="H48" s="2" t="e">
        <f>DEVSQ(Table83[NetJSON])</f>
        <v>#NUM!</v>
      </c>
      <c r="I48" s="2">
        <f>DEVSQ(Table83[Jackson])</f>
        <v>891245.2</v>
      </c>
      <c r="J48" s="2">
        <f>DEVSQ(Table83[DSL Platform Java])</f>
        <v>5167.2000000000007</v>
      </c>
      <c r="K48" s="2">
        <f>DEVSQ(Table83[Genson])</f>
        <v>38042.800000000003</v>
      </c>
      <c r="L48" s="2" t="e">
        <f>DEVSQ(Table83[Boon])</f>
        <v>#NUM!</v>
      </c>
      <c r="M48" s="2" t="e">
        <f>DEVSQ(Table83[Alibaba])</f>
        <v>#NUM!</v>
      </c>
      <c r="N48" s="2">
        <f>DEVSQ(Table83[Gson])</f>
        <v>1850933.2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8753</v>
      </c>
      <c r="C52">
        <v>8839</v>
      </c>
      <c r="E52">
        <v>8754</v>
      </c>
      <c r="H52">
        <v>1280</v>
      </c>
      <c r="I52">
        <v>1290</v>
      </c>
      <c r="J52">
        <v>1278</v>
      </c>
      <c r="M52">
        <v>1292</v>
      </c>
    </row>
    <row r="53" spans="2:25" x14ac:dyDescent="0.25">
      <c r="B53">
        <v>8671</v>
      </c>
      <c r="C53">
        <v>8846</v>
      </c>
      <c r="E53">
        <v>8807</v>
      </c>
      <c r="H53">
        <v>1274</v>
      </c>
      <c r="I53">
        <v>1273</v>
      </c>
      <c r="J53">
        <v>1305</v>
      </c>
      <c r="M53">
        <v>1275</v>
      </c>
    </row>
    <row r="54" spans="2:25" x14ac:dyDescent="0.25">
      <c r="B54">
        <v>8715</v>
      </c>
      <c r="C54">
        <v>8745</v>
      </c>
      <c r="E54">
        <v>8850</v>
      </c>
      <c r="H54">
        <v>1274</v>
      </c>
      <c r="I54">
        <v>1279</v>
      </c>
      <c r="J54">
        <v>1276</v>
      </c>
      <c r="M54">
        <v>1296</v>
      </c>
    </row>
    <row r="55" spans="2:25" x14ac:dyDescent="0.25">
      <c r="B55">
        <v>8636</v>
      </c>
      <c r="C55">
        <v>8795</v>
      </c>
      <c r="E55">
        <v>8826</v>
      </c>
      <c r="H55">
        <v>1276</v>
      </c>
      <c r="I55">
        <v>1277</v>
      </c>
      <c r="J55">
        <v>1290</v>
      </c>
      <c r="M55">
        <v>1282</v>
      </c>
    </row>
    <row r="56" spans="2:25" x14ac:dyDescent="0.25">
      <c r="B56">
        <v>8598</v>
      </c>
      <c r="C56">
        <v>8713</v>
      </c>
      <c r="E56">
        <v>8799</v>
      </c>
      <c r="H56">
        <v>1291</v>
      </c>
      <c r="I56">
        <v>1312</v>
      </c>
      <c r="J56">
        <v>1289</v>
      </c>
      <c r="M56">
        <v>1294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31029</v>
      </c>
      <c r="C60">
        <v>15108</v>
      </c>
      <c r="E60">
        <v>29650</v>
      </c>
      <c r="H60">
        <v>9108</v>
      </c>
      <c r="I60">
        <v>3509</v>
      </c>
      <c r="J60">
        <v>10997</v>
      </c>
      <c r="M60">
        <v>18779</v>
      </c>
      <c r="N60">
        <v>852604452</v>
      </c>
      <c r="O60">
        <v>745341367</v>
      </c>
      <c r="Q60">
        <v>805529997</v>
      </c>
      <c r="T60">
        <v>738942711</v>
      </c>
      <c r="U60">
        <v>738345567</v>
      </c>
      <c r="V60">
        <v>773410117</v>
      </c>
      <c r="Y60">
        <v>741567117</v>
      </c>
    </row>
    <row r="61" spans="2:25" x14ac:dyDescent="0.25">
      <c r="B61">
        <v>31064</v>
      </c>
      <c r="C61">
        <v>15083</v>
      </c>
      <c r="E61">
        <v>29666</v>
      </c>
      <c r="H61">
        <v>9159</v>
      </c>
      <c r="I61">
        <v>3559</v>
      </c>
      <c r="J61">
        <v>10924</v>
      </c>
      <c r="M61">
        <v>19087</v>
      </c>
      <c r="N61">
        <v>852604452</v>
      </c>
      <c r="O61">
        <v>745341367</v>
      </c>
      <c r="Q61">
        <v>805529997</v>
      </c>
      <c r="T61">
        <v>738942711</v>
      </c>
      <c r="U61">
        <v>738369767</v>
      </c>
      <c r="V61">
        <v>773410117</v>
      </c>
      <c r="Y61">
        <v>741567117</v>
      </c>
    </row>
    <row r="62" spans="2:25" x14ac:dyDescent="0.25">
      <c r="B62">
        <v>30744</v>
      </c>
      <c r="C62">
        <v>15067</v>
      </c>
      <c r="E62">
        <v>29731</v>
      </c>
      <c r="H62">
        <v>9181</v>
      </c>
      <c r="I62">
        <v>3553</v>
      </c>
      <c r="J62">
        <v>11152</v>
      </c>
      <c r="M62">
        <v>19078</v>
      </c>
      <c r="N62">
        <v>850871452</v>
      </c>
      <c r="O62">
        <v>745341367</v>
      </c>
      <c r="Q62">
        <v>805529997</v>
      </c>
      <c r="T62">
        <v>738942711</v>
      </c>
      <c r="U62">
        <v>738391767</v>
      </c>
      <c r="V62">
        <v>773410117</v>
      </c>
      <c r="Y62">
        <v>741567117</v>
      </c>
    </row>
    <row r="63" spans="2:25" x14ac:dyDescent="0.25">
      <c r="B63">
        <v>30905</v>
      </c>
      <c r="C63">
        <v>15185</v>
      </c>
      <c r="E63">
        <v>29784</v>
      </c>
      <c r="H63">
        <v>9311</v>
      </c>
      <c r="I63">
        <v>3548</v>
      </c>
      <c r="J63">
        <v>10988</v>
      </c>
      <c r="M63">
        <v>19059</v>
      </c>
      <c r="N63">
        <v>852604452</v>
      </c>
      <c r="O63">
        <v>745341367</v>
      </c>
      <c r="Q63">
        <v>805529997</v>
      </c>
      <c r="T63">
        <v>738942711</v>
      </c>
      <c r="U63">
        <v>738349967</v>
      </c>
      <c r="V63">
        <v>773410117</v>
      </c>
      <c r="Y63">
        <v>741567117</v>
      </c>
    </row>
    <row r="64" spans="2:25" x14ac:dyDescent="0.25">
      <c r="B64">
        <v>30737</v>
      </c>
      <c r="C64">
        <v>15121</v>
      </c>
      <c r="E64">
        <v>29920</v>
      </c>
      <c r="H64">
        <v>9095</v>
      </c>
      <c r="I64">
        <v>3497</v>
      </c>
      <c r="J64">
        <v>10700</v>
      </c>
      <c r="M64">
        <v>18507</v>
      </c>
      <c r="N64">
        <v>852604452</v>
      </c>
      <c r="O64">
        <v>745341367</v>
      </c>
      <c r="Q64">
        <v>805529997</v>
      </c>
      <c r="T64">
        <v>738942711</v>
      </c>
      <c r="U64">
        <v>738347767</v>
      </c>
      <c r="V64">
        <v>773410117</v>
      </c>
      <c r="Y64">
        <v>741567117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61134</v>
      </c>
      <c r="C68">
        <v>26800</v>
      </c>
      <c r="E68">
        <v>65250</v>
      </c>
      <c r="H68">
        <v>25327</v>
      </c>
      <c r="I68">
        <v>6058</v>
      </c>
      <c r="J68">
        <v>16588</v>
      </c>
      <c r="M68">
        <v>40896</v>
      </c>
    </row>
    <row r="69" spans="2:13" x14ac:dyDescent="0.25">
      <c r="B69">
        <v>60764</v>
      </c>
      <c r="C69">
        <v>26736</v>
      </c>
      <c r="E69">
        <v>64961</v>
      </c>
      <c r="H69">
        <v>25944</v>
      </c>
      <c r="I69">
        <v>6110</v>
      </c>
      <c r="J69">
        <v>16801</v>
      </c>
      <c r="M69">
        <v>40551</v>
      </c>
    </row>
    <row r="70" spans="2:13" x14ac:dyDescent="0.25">
      <c r="B70">
        <v>61011</v>
      </c>
      <c r="C70">
        <v>26865</v>
      </c>
      <c r="E70">
        <v>65328</v>
      </c>
      <c r="H70">
        <v>24957</v>
      </c>
      <c r="I70">
        <v>6094</v>
      </c>
      <c r="J70">
        <v>16653</v>
      </c>
      <c r="M70">
        <v>39481</v>
      </c>
    </row>
    <row r="71" spans="2:13" x14ac:dyDescent="0.25">
      <c r="B71">
        <v>60953</v>
      </c>
      <c r="C71">
        <v>26746</v>
      </c>
      <c r="E71">
        <v>65299</v>
      </c>
      <c r="H71">
        <v>25273</v>
      </c>
      <c r="I71">
        <v>6158</v>
      </c>
      <c r="J71">
        <v>16556</v>
      </c>
      <c r="M71">
        <v>39602</v>
      </c>
    </row>
    <row r="72" spans="2:13" x14ac:dyDescent="0.25">
      <c r="B72">
        <v>60906</v>
      </c>
      <c r="C72">
        <v>26950</v>
      </c>
      <c r="E72">
        <v>65158</v>
      </c>
      <c r="H72">
        <v>24686</v>
      </c>
      <c r="I72">
        <v>6107</v>
      </c>
      <c r="J72">
        <v>16706</v>
      </c>
      <c r="M72">
        <v>40828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72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50</v>
      </c>
    </row>
    <row r="37" spans="2:17" x14ac:dyDescent="0.25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AVERAGE(Table87[Newtonsoft])</f>
        <v>85057</v>
      </c>
      <c r="D38" s="2">
        <f>AVERAGE(Table87[Revenj])</f>
        <v>86354</v>
      </c>
      <c r="E38" s="2" t="e">
        <f>AVERAGE(Table87[fastJSON])</f>
        <v>#DIV/0!</v>
      </c>
      <c r="F38" s="2">
        <f>AVERAGE(Table87[Service Stack])</f>
        <v>86845.6</v>
      </c>
      <c r="G38" s="2" t="e">
        <f>AVERAGE(Table87[Jil])</f>
        <v>#DIV/0!</v>
      </c>
      <c r="H38" s="2" t="e">
        <f>AVERAGE(Table87[NetJSON])</f>
        <v>#DIV/0!</v>
      </c>
      <c r="I38" s="2">
        <f>AVERAGE(Table87[Jackson])</f>
        <v>11543.8</v>
      </c>
      <c r="J38" s="2">
        <f>AVERAGE(Table87[DSL Platform Java])</f>
        <v>11274.4</v>
      </c>
      <c r="K38" s="2">
        <f>AVERAGE(Table87[Genson])</f>
        <v>11279.4</v>
      </c>
      <c r="L38" s="2" t="e">
        <f>AVERAGE(Table87[Boon])</f>
        <v>#DIV/0!</v>
      </c>
      <c r="M38" s="2" t="e">
        <f>AVERAGE(Table87[Alibaba])</f>
        <v>#DIV/0!</v>
      </c>
      <c r="N38" s="2">
        <f>AVERAGE(Table87[Gson])</f>
        <v>11272.2</v>
      </c>
      <c r="O38" s="2"/>
      <c r="P38" s="2"/>
      <c r="Q38" s="2"/>
    </row>
    <row r="39" spans="2:17" x14ac:dyDescent="0.25">
      <c r="B39" t="s">
        <v>0</v>
      </c>
      <c r="C39" s="2">
        <f>AVERAGE(Table86[Newtonsoft]) - C38</f>
        <v>227059.59999999998</v>
      </c>
      <c r="D39" s="2">
        <f>AVERAGE(Table86[Revenj]) - D38</f>
        <v>62856.399999999994</v>
      </c>
      <c r="E39" s="2" t="e">
        <f>AVERAGE(Table86[fastJSON]) - E38</f>
        <v>#DIV/0!</v>
      </c>
      <c r="F39" s="2">
        <f>AVERAGE(Table86[Service Stack]) - F38</f>
        <v>211564.6</v>
      </c>
      <c r="G39" s="2" t="e">
        <f>AVERAGE(Table86[Jil]) - G38</f>
        <v>#DIV/0!</v>
      </c>
      <c r="H39" s="2" t="e">
        <f>AVERAGE(Table86[NetJSON]) - H38</f>
        <v>#DIV/0!</v>
      </c>
      <c r="I39" s="2">
        <f>AVERAGE(Table86[Jackson]) - I38</f>
        <v>76735.8</v>
      </c>
      <c r="J39" s="2">
        <f>AVERAGE(Table86[DSL Platform Java]) - J38</f>
        <v>20908</v>
      </c>
      <c r="K39" s="2">
        <f>AVERAGE(Table86[Genson]) - K38</f>
        <v>93016</v>
      </c>
      <c r="L39" s="2" t="e">
        <f>AVERAGE(Table86[Boon]) - L38</f>
        <v>#DIV/0!</v>
      </c>
      <c r="M39" s="2" t="e">
        <f>AVERAGE(Table86[Alibaba]) - M38</f>
        <v>#DIV/0!</v>
      </c>
      <c r="N39" s="2">
        <f>AVERAGE(Table86[Gson]) - N38</f>
        <v>175657.4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328551.20000000007</v>
      </c>
      <c r="D40" s="2">
        <f t="shared" si="0"/>
        <v>115733.4</v>
      </c>
      <c r="E40" s="2" t="e">
        <f t="shared" ref="E40" si="1">E41 - E39 - E38</f>
        <v>#DIV/0!</v>
      </c>
      <c r="F40" s="2">
        <f t="shared" si="0"/>
        <v>449644.4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159106</v>
      </c>
      <c r="J40" s="2">
        <f t="shared" ref="J40" si="3">J41 - J39 - J38</f>
        <v>26615</v>
      </c>
      <c r="K40" s="2" t="e">
        <f t="shared" ref="K40:L40" si="4">K41 - K39 - K38</f>
        <v>#VALUE!</v>
      </c>
      <c r="L40" s="2" t="e">
        <f t="shared" si="4"/>
        <v>#DIV/0!</v>
      </c>
      <c r="M40" s="2" t="e">
        <f t="shared" ref="M40" si="5">M41 - M39 - M38</f>
        <v>#DIV/0!</v>
      </c>
      <c r="N40" s="2">
        <f t="shared" ref="N40" si="6">N41 - N39 - N38</f>
        <v>216009.19999999998</v>
      </c>
      <c r="O40" s="2"/>
      <c r="P40" s="2"/>
      <c r="Q40" s="2"/>
    </row>
    <row r="41" spans="2:17" x14ac:dyDescent="0.25">
      <c r="B41" t="s">
        <v>25</v>
      </c>
      <c r="C41" s="2">
        <f>AVERAGE(Table88[Newtonsoft])</f>
        <v>640667.80000000005</v>
      </c>
      <c r="D41" s="2">
        <f>AVERAGE(Table88[Revenj])</f>
        <v>264943.8</v>
      </c>
      <c r="E41" s="2" t="e">
        <f>AVERAGE(Table88[fastJSON])</f>
        <v>#DIV/0!</v>
      </c>
      <c r="F41" s="2">
        <f>AVERAGE(Table88[Service Stack])</f>
        <v>748054.6</v>
      </c>
      <c r="G41" s="2" t="e">
        <f>AVERAGE(Table88[Jil])</f>
        <v>#DIV/0!</v>
      </c>
      <c r="H41" s="2" t="e">
        <f>AVERAGE(Table88[NetJSON])</f>
        <v>#DIV/0!</v>
      </c>
      <c r="I41" s="2">
        <f>AVERAGE(Table88[Jackson])</f>
        <v>247385.60000000001</v>
      </c>
      <c r="J41" s="2">
        <f>AVERAGE(Table88[DSL Platform Java])</f>
        <v>58797.4</v>
      </c>
      <c r="K41" s="4" t="s">
        <v>53</v>
      </c>
      <c r="L41" s="2" t="e">
        <f>AVERAGE(Table88[Boon])</f>
        <v>#DIV/0!</v>
      </c>
      <c r="M41" s="2" t="e">
        <f>AVERAGE(Table88[Alibaba])</f>
        <v>#DIV/0!</v>
      </c>
      <c r="N41" s="2">
        <f>AVERAGE(Table88[Gson])</f>
        <v>402938.8</v>
      </c>
      <c r="O41" s="2"/>
      <c r="P41" s="2"/>
      <c r="Q41" s="2"/>
    </row>
    <row r="42" spans="2:17" x14ac:dyDescent="0.25">
      <c r="B42" t="s">
        <v>4</v>
      </c>
      <c r="C42" s="3">
        <f>AVERAGE(Table86[Newtonsoft (size)])</f>
        <v>8630035452</v>
      </c>
      <c r="D42" s="3">
        <f>AVERAGE(Table86[Revenj (size)])</f>
        <v>7557405367</v>
      </c>
      <c r="E42" s="3" t="e">
        <f>AVERAGE(Table86[fastJSON (size)])</f>
        <v>#DIV/0!</v>
      </c>
      <c r="F42" s="3">
        <f>AVERAGE(Table86[Service Stack (size)])</f>
        <v>8204327997</v>
      </c>
      <c r="G42" s="2" t="e">
        <f>AVERAGE(Table86[Jil (size)])</f>
        <v>#DIV/0!</v>
      </c>
      <c r="H42" s="2" t="e">
        <f>AVERAGE(Table86[NetJSON (size)])</f>
        <v>#DIV/0!</v>
      </c>
      <c r="I42" s="2">
        <f>AVERAGE(Table86[Jackson (size)])</f>
        <v>7493418711</v>
      </c>
      <c r="J42" s="2">
        <f>AVERAGE(Table86[DSL Platform Java (size)])</f>
        <v>7487592567</v>
      </c>
      <c r="K42" s="2">
        <f>AVERAGE(Table86[Genson (size)])</f>
        <v>7838092117</v>
      </c>
      <c r="L42" s="2" t="e">
        <f>AVERAGE(Table86[Boon (size)])</f>
        <v>#DIV/0!</v>
      </c>
      <c r="M42" s="2" t="e">
        <f>AVERAGE(Table86[Alibaba (size)])</f>
        <v>#DIV/0!</v>
      </c>
      <c r="N42" s="2">
        <f>AVERAGE(Table86[Gson (size)])</f>
        <v>7519662117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DEVSQ(Table86[Newtonsoft])</f>
        <v>2160609.2000000002</v>
      </c>
      <c r="D47" s="2">
        <f>DEVSQ(Table86[Revenj])</f>
        <v>265501.2</v>
      </c>
      <c r="E47" s="2" t="e">
        <f>DEVSQ(Table86[fastJSON])</f>
        <v>#NUM!</v>
      </c>
      <c r="F47" s="2">
        <f>DEVSQ(Table86[Service Stack])</f>
        <v>22450478.800000004</v>
      </c>
      <c r="G47" s="2" t="e">
        <f>DEVSQ(Table86[Jil])</f>
        <v>#NUM!</v>
      </c>
      <c r="H47" s="2" t="e">
        <f>DEVSQ(Table86[NetJSON])</f>
        <v>#NUM!</v>
      </c>
      <c r="I47" s="2">
        <f>DEVSQ(Table86[Jackson])</f>
        <v>13095771.199999999</v>
      </c>
      <c r="J47" s="2">
        <f>DEVSQ(Table86[DSL Platform Java])</f>
        <v>47985.2</v>
      </c>
      <c r="K47" s="2">
        <f>DEVSQ(Table86[Genson])</f>
        <v>4291235.2</v>
      </c>
      <c r="L47" s="2" t="e">
        <f>DEVSQ(Table86[Boon])</f>
        <v>#NUM!</v>
      </c>
      <c r="M47" s="2" t="e">
        <f>DEVSQ(Table86[Alibaba])</f>
        <v>#NUM!</v>
      </c>
      <c r="N47" s="2">
        <f>DEVSQ(Table86[Gson])</f>
        <v>10645101.199999999</v>
      </c>
      <c r="O47" s="2"/>
      <c r="P47" s="2"/>
      <c r="Q47" s="2"/>
    </row>
    <row r="48" spans="2:17" x14ac:dyDescent="0.25">
      <c r="B48" t="s">
        <v>25</v>
      </c>
      <c r="C48" s="2">
        <f>DEVSQ(Table88[Newtonsoft])</f>
        <v>3416464674.8000002</v>
      </c>
      <c r="D48" s="2">
        <f>DEVSQ(Table88[Revenj])</f>
        <v>1237884.8</v>
      </c>
      <c r="E48" s="2" t="e">
        <f>DEVSQ(Table88[fastJSON])</f>
        <v>#NUM!</v>
      </c>
      <c r="F48" s="2">
        <f>DEVSQ(Table88[Service Stack])</f>
        <v>7386980675.1999998</v>
      </c>
      <c r="G48" s="2" t="e">
        <f>DEVSQ(Table88[Jil])</f>
        <v>#NUM!</v>
      </c>
      <c r="H48" s="2" t="e">
        <f>DEVSQ(Table88[NetJSON])</f>
        <v>#NUM!</v>
      </c>
      <c r="I48" s="2">
        <f>DEVSQ(Table88[Jackson])</f>
        <v>28294709.199999999</v>
      </c>
      <c r="J48" s="2">
        <f>DEVSQ(Table88[DSL Platform Java])</f>
        <v>805717.2</v>
      </c>
      <c r="K48" s="2">
        <f>DEVSQ(Table88[Genson])</f>
        <v>2085072</v>
      </c>
      <c r="L48" s="2" t="e">
        <f>DEVSQ(Table88[Boon])</f>
        <v>#NUM!</v>
      </c>
      <c r="M48" s="2" t="e">
        <f>DEVSQ(Table88[Alibaba])</f>
        <v>#NUM!</v>
      </c>
      <c r="N48" s="2">
        <f>DEVSQ(Table88[Gson])</f>
        <v>77359170.799999997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84307</v>
      </c>
      <c r="C52">
        <v>86355</v>
      </c>
      <c r="E52">
        <v>91434</v>
      </c>
      <c r="H52">
        <v>11703</v>
      </c>
      <c r="I52">
        <v>11272</v>
      </c>
      <c r="J52">
        <v>11175</v>
      </c>
      <c r="M52">
        <v>11253</v>
      </c>
    </row>
    <row r="53" spans="2:25" x14ac:dyDescent="0.25">
      <c r="B53">
        <v>85029</v>
      </c>
      <c r="C53">
        <v>86127</v>
      </c>
      <c r="E53">
        <v>85830</v>
      </c>
      <c r="H53">
        <v>12022</v>
      </c>
      <c r="I53">
        <v>11422</v>
      </c>
      <c r="J53">
        <v>11398</v>
      </c>
      <c r="M53">
        <v>11432</v>
      </c>
    </row>
    <row r="54" spans="2:25" x14ac:dyDescent="0.25">
      <c r="B54">
        <v>85539</v>
      </c>
      <c r="C54">
        <v>86630</v>
      </c>
      <c r="E54">
        <v>85588</v>
      </c>
      <c r="H54">
        <v>11518</v>
      </c>
      <c r="I54">
        <v>11393</v>
      </c>
      <c r="J54">
        <v>11289</v>
      </c>
      <c r="M54">
        <v>11354</v>
      </c>
    </row>
    <row r="55" spans="2:25" x14ac:dyDescent="0.25">
      <c r="B55">
        <v>85294</v>
      </c>
      <c r="C55">
        <v>86140</v>
      </c>
      <c r="E55">
        <v>86027</v>
      </c>
      <c r="H55">
        <v>11510</v>
      </c>
      <c r="I55">
        <v>11173</v>
      </c>
      <c r="J55">
        <v>11300</v>
      </c>
      <c r="M55">
        <v>11137</v>
      </c>
    </row>
    <row r="56" spans="2:25" x14ac:dyDescent="0.25">
      <c r="B56">
        <v>85116</v>
      </c>
      <c r="C56">
        <v>86518</v>
      </c>
      <c r="E56">
        <v>85349</v>
      </c>
      <c r="H56">
        <v>10966</v>
      </c>
      <c r="I56">
        <v>11112</v>
      </c>
      <c r="J56">
        <v>11235</v>
      </c>
      <c r="M56">
        <v>11185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312801</v>
      </c>
      <c r="C60">
        <v>149030</v>
      </c>
      <c r="E60">
        <v>297138</v>
      </c>
      <c r="H60">
        <v>86256</v>
      </c>
      <c r="I60">
        <v>32033</v>
      </c>
      <c r="J60">
        <v>103160</v>
      </c>
      <c r="M60">
        <v>187211</v>
      </c>
      <c r="N60">
        <v>8630035452</v>
      </c>
      <c r="O60">
        <v>7557405367</v>
      </c>
      <c r="Q60">
        <v>8204327997</v>
      </c>
      <c r="T60">
        <v>7493418711</v>
      </c>
      <c r="U60">
        <v>7487997367</v>
      </c>
      <c r="V60">
        <v>7838092117</v>
      </c>
      <c r="Y60">
        <v>7519662117</v>
      </c>
    </row>
    <row r="61" spans="2:25" x14ac:dyDescent="0.25">
      <c r="B61">
        <v>311900</v>
      </c>
      <c r="C61">
        <v>148973</v>
      </c>
      <c r="E61">
        <v>302451</v>
      </c>
      <c r="H61">
        <v>87174</v>
      </c>
      <c r="I61">
        <v>32264</v>
      </c>
      <c r="J61">
        <v>104940</v>
      </c>
      <c r="M61">
        <v>185894</v>
      </c>
      <c r="N61">
        <v>8630035452</v>
      </c>
      <c r="O61">
        <v>7557405367</v>
      </c>
      <c r="Q61">
        <v>8204327997</v>
      </c>
      <c r="T61">
        <v>7493418711</v>
      </c>
      <c r="U61">
        <v>7487623367</v>
      </c>
      <c r="V61">
        <v>7838092117</v>
      </c>
      <c r="Y61">
        <v>7519662117</v>
      </c>
    </row>
    <row r="62" spans="2:25" x14ac:dyDescent="0.25">
      <c r="B62">
        <v>312857</v>
      </c>
      <c r="C62">
        <v>149091</v>
      </c>
      <c r="E62">
        <v>298627</v>
      </c>
      <c r="H62">
        <v>89886</v>
      </c>
      <c r="I62">
        <v>32128</v>
      </c>
      <c r="J62">
        <v>103367</v>
      </c>
      <c r="M62">
        <v>189050</v>
      </c>
      <c r="N62">
        <v>8630035452</v>
      </c>
      <c r="O62">
        <v>7557405367</v>
      </c>
      <c r="Q62">
        <v>8204327997</v>
      </c>
      <c r="T62">
        <v>7493418711</v>
      </c>
      <c r="U62">
        <v>7487359367</v>
      </c>
      <c r="V62">
        <v>7838092117</v>
      </c>
      <c r="Y62">
        <v>7519662117</v>
      </c>
    </row>
    <row r="63" spans="2:25" x14ac:dyDescent="0.25">
      <c r="B63">
        <v>311941</v>
      </c>
      <c r="C63">
        <v>149574</v>
      </c>
      <c r="E63">
        <v>296935</v>
      </c>
      <c r="H63">
        <v>87620</v>
      </c>
      <c r="I63">
        <v>32178</v>
      </c>
      <c r="J63">
        <v>104406</v>
      </c>
      <c r="M63">
        <v>184821</v>
      </c>
      <c r="N63">
        <v>8630035452</v>
      </c>
      <c r="O63">
        <v>7557405367</v>
      </c>
      <c r="Q63">
        <v>8204327997</v>
      </c>
      <c r="T63">
        <v>7493418711</v>
      </c>
      <c r="U63">
        <v>7487557367</v>
      </c>
      <c r="V63">
        <v>7838092117</v>
      </c>
      <c r="Y63">
        <v>7519662117</v>
      </c>
    </row>
    <row r="64" spans="2:25" x14ac:dyDescent="0.25">
      <c r="B64">
        <v>311084</v>
      </c>
      <c r="C64">
        <v>149384</v>
      </c>
      <c r="E64">
        <v>296900</v>
      </c>
      <c r="H64">
        <v>90462</v>
      </c>
      <c r="I64">
        <v>32309</v>
      </c>
      <c r="J64">
        <v>105604</v>
      </c>
      <c r="M64">
        <v>187672</v>
      </c>
      <c r="N64">
        <v>8630035452</v>
      </c>
      <c r="O64">
        <v>7557405367</v>
      </c>
      <c r="Q64">
        <v>8204327997</v>
      </c>
      <c r="T64">
        <v>7493418711</v>
      </c>
      <c r="U64">
        <v>7487425367</v>
      </c>
      <c r="V64">
        <v>7838092117</v>
      </c>
      <c r="Y64">
        <v>7519662117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664003</v>
      </c>
      <c r="C68">
        <v>264105</v>
      </c>
      <c r="E68">
        <v>690349</v>
      </c>
      <c r="H68">
        <v>245093</v>
      </c>
      <c r="I68">
        <v>59536</v>
      </c>
      <c r="J68">
        <v>168074</v>
      </c>
      <c r="M68">
        <v>410395</v>
      </c>
    </row>
    <row r="69" spans="2:13" x14ac:dyDescent="0.25">
      <c r="B69">
        <v>659641</v>
      </c>
      <c r="C69">
        <v>265586</v>
      </c>
      <c r="E69">
        <v>777867</v>
      </c>
      <c r="H69">
        <v>247764</v>
      </c>
      <c r="I69">
        <v>58727</v>
      </c>
      <c r="J69">
        <v>168070</v>
      </c>
      <c r="M69">
        <v>403304</v>
      </c>
    </row>
    <row r="70" spans="2:13" x14ac:dyDescent="0.25">
      <c r="B70">
        <v>662287</v>
      </c>
      <c r="C70">
        <v>265278</v>
      </c>
      <c r="E70">
        <v>781839</v>
      </c>
      <c r="H70">
        <v>247479</v>
      </c>
      <c r="I70">
        <v>58841</v>
      </c>
      <c r="J70">
        <v>167471</v>
      </c>
      <c r="M70">
        <v>399504</v>
      </c>
    </row>
    <row r="71" spans="2:13" x14ac:dyDescent="0.25">
      <c r="B71">
        <v>607932</v>
      </c>
      <c r="C71">
        <v>264856</v>
      </c>
      <c r="E71">
        <v>713411</v>
      </c>
      <c r="H71">
        <v>245038</v>
      </c>
      <c r="I71">
        <v>58442</v>
      </c>
      <c r="J71">
        <v>167090</v>
      </c>
      <c r="M71">
        <v>401071</v>
      </c>
    </row>
    <row r="72" spans="2:13" x14ac:dyDescent="0.25">
      <c r="B72">
        <v>609476</v>
      </c>
      <c r="C72">
        <v>264894</v>
      </c>
      <c r="E72">
        <v>776807</v>
      </c>
      <c r="H72">
        <v>251554</v>
      </c>
      <c r="I72">
        <v>58441</v>
      </c>
      <c r="J72">
        <v>166360</v>
      </c>
      <c r="M72">
        <v>400420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72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51</v>
      </c>
    </row>
    <row r="37" spans="2:17" x14ac:dyDescent="0.25">
      <c r="B37" t="s">
        <v>2</v>
      </c>
      <c r="C37" t="s">
        <v>54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AVERAGE(Table92[Newtonsoft])</f>
        <v>566.6</v>
      </c>
      <c r="D38" s="2">
        <f>AVERAGE(Table92[Revenj])</f>
        <v>579.4</v>
      </c>
      <c r="E38" s="2" t="e">
        <f>AVERAGE(Table92[fastJSON])</f>
        <v>#DIV/0!</v>
      </c>
      <c r="F38" s="2" t="e">
        <f>AVERAGE(Table92[Service Stack])</f>
        <v>#DIV/0!</v>
      </c>
      <c r="G38" s="2" t="e">
        <f>AVERAGE(Table92[Jil])</f>
        <v>#DIV/0!</v>
      </c>
      <c r="H38" s="2" t="e">
        <f>AVERAGE(Table92[NetJSON])</f>
        <v>#DIV/0!</v>
      </c>
      <c r="I38" s="2">
        <f>AVERAGE(Table92[Jackson])</f>
        <v>472.2</v>
      </c>
      <c r="J38" s="2">
        <f>AVERAGE(Table92[DSL Platform Java])</f>
        <v>426</v>
      </c>
      <c r="K38" s="2" t="e">
        <f>AVERAGE(Table92[Genson])</f>
        <v>#DIV/0!</v>
      </c>
      <c r="L38" s="2" t="e">
        <f>AVERAGE(Table92[Boon])</f>
        <v>#DIV/0!</v>
      </c>
      <c r="M38" s="2" t="e">
        <f>AVERAGE(Table92[Alibaba])</f>
        <v>#DIV/0!</v>
      </c>
      <c r="N38" s="2" t="e">
        <f>AVERAGE(Table92[Gson])</f>
        <v>#DIV/0!</v>
      </c>
      <c r="O38" s="2"/>
      <c r="P38" s="2"/>
      <c r="Q38" s="2"/>
    </row>
    <row r="39" spans="2:17" x14ac:dyDescent="0.25">
      <c r="B39" t="s">
        <v>0</v>
      </c>
      <c r="C39" s="2">
        <f>AVERAGE(Table91[Newtonsoft]) - C38</f>
        <v>1683.8000000000002</v>
      </c>
      <c r="D39" s="2">
        <f>AVERAGE(Table91[Revenj]) - D38</f>
        <v>441.20000000000005</v>
      </c>
      <c r="E39" s="2" t="e">
        <f>AVERAGE(Table91[fastJSON]) - E38</f>
        <v>#DIV/0!</v>
      </c>
      <c r="F39" s="2" t="e">
        <f>AVERAGE(Table91[Service Stack]) - F38</f>
        <v>#DIV/0!</v>
      </c>
      <c r="G39" s="2" t="e">
        <f>AVERAGE(Table91[Jil]) - G38</f>
        <v>#DIV/0!</v>
      </c>
      <c r="H39" s="2" t="e">
        <f>AVERAGE(Table91[NetJSON]) - H38</f>
        <v>#DIV/0!</v>
      </c>
      <c r="I39" s="2">
        <f>AVERAGE(Table91[Jackson]) - I38</f>
        <v>934</v>
      </c>
      <c r="J39" s="2">
        <f>AVERAGE(Table91[DSL Platform Java]) - J38</f>
        <v>318</v>
      </c>
      <c r="K39" s="2" t="e">
        <f>AVERAGE(Table91[Genson]) - K38</f>
        <v>#DIV/0!</v>
      </c>
      <c r="L39" s="2" t="e">
        <f>AVERAGE(Table91[Boon]) - L38</f>
        <v>#DIV/0!</v>
      </c>
      <c r="M39" s="2" t="e">
        <f>AVERAGE(Table91[Alibaba]) - M38</f>
        <v>#DIV/0!</v>
      </c>
      <c r="N39" s="2" t="e">
        <f>AVERAGE(Table91[Gson]) - N38</f>
        <v>#DIV/0!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2526.4</v>
      </c>
      <c r="D40" s="2">
        <f t="shared" si="0"/>
        <v>1091.8000000000002</v>
      </c>
      <c r="E40" s="2" t="e">
        <f t="shared" ref="E40" si="1">E41 - E39 - E38</f>
        <v>#DIV/0!</v>
      </c>
      <c r="F40" s="2" t="e">
        <f t="shared" si="0"/>
        <v>#DIV/0!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1893.3999999999999</v>
      </c>
      <c r="J40" s="2">
        <f t="shared" ref="J40" si="3">J41 - J39 - J38</f>
        <v>287.79999999999995</v>
      </c>
      <c r="K40" s="2" t="e">
        <f t="shared" ref="K40:L40" si="4">K41 - K39 - K38</f>
        <v>#DIV/0!</v>
      </c>
      <c r="L40" s="2" t="e">
        <f t="shared" si="4"/>
        <v>#DIV/0!</v>
      </c>
      <c r="M40" s="2" t="e">
        <f t="shared" ref="M40" si="5">M41 - M39 - M38</f>
        <v>#DIV/0!</v>
      </c>
      <c r="N40" s="2" t="e">
        <f t="shared" ref="N40" si="6">N41 - N39 - N38</f>
        <v>#DIV/0!</v>
      </c>
      <c r="O40" s="2"/>
      <c r="P40" s="2"/>
      <c r="Q40" s="2"/>
    </row>
    <row r="41" spans="2:17" x14ac:dyDescent="0.25">
      <c r="B41" t="s">
        <v>25</v>
      </c>
      <c r="C41" s="2">
        <f>AVERAGE(Table93[Newtonsoft])</f>
        <v>4776.8</v>
      </c>
      <c r="D41" s="2">
        <f>AVERAGE(Table93[Revenj])</f>
        <v>2112.4</v>
      </c>
      <c r="E41" s="2" t="e">
        <f>AVERAGE(Table93[fastJSON])</f>
        <v>#DIV/0!</v>
      </c>
      <c r="F41" s="2" t="e">
        <f>AVERAGE(Table93[Service Stack])</f>
        <v>#DIV/0!</v>
      </c>
      <c r="G41" s="2" t="e">
        <f>AVERAGE(Table93[Jil])</f>
        <v>#DIV/0!</v>
      </c>
      <c r="H41" s="2" t="e">
        <f>AVERAGE(Table93[NetJSON])</f>
        <v>#DIV/0!</v>
      </c>
      <c r="I41" s="2">
        <f>AVERAGE(Table93[Jackson])</f>
        <v>3299.6</v>
      </c>
      <c r="J41" s="2">
        <f>AVERAGE(Table93[DSL Platform Java])</f>
        <v>1031.8</v>
      </c>
      <c r="K41" s="2" t="e">
        <f>AVERAGE(Table93[Genson])</f>
        <v>#DIV/0!</v>
      </c>
      <c r="L41" s="2" t="e">
        <f>AVERAGE(Table93[Boon])</f>
        <v>#DIV/0!</v>
      </c>
      <c r="M41" s="2" t="e">
        <f>AVERAGE(Table93[Alibaba])</f>
        <v>#DIV/0!</v>
      </c>
      <c r="N41" s="2" t="e">
        <f>AVERAGE(Table93[Gson])</f>
        <v>#DIV/0!</v>
      </c>
      <c r="O41" s="2"/>
      <c r="P41" s="2"/>
      <c r="Q41" s="2"/>
    </row>
    <row r="42" spans="2:17" x14ac:dyDescent="0.25">
      <c r="B42" t="s">
        <v>4</v>
      </c>
      <c r="C42" s="3">
        <f>AVERAGE(Table91[Newtonsoft (size)])</f>
        <v>62705819</v>
      </c>
      <c r="D42" s="3">
        <f>AVERAGE(Table91[Revenj (size)])</f>
        <v>49485608</v>
      </c>
      <c r="E42" s="3" t="e">
        <f>AVERAGE(Table91[fastJSON (size)])</f>
        <v>#DIV/0!</v>
      </c>
      <c r="F42" s="3" t="e">
        <f>AVERAGE(Table91[Service Stack (size)])</f>
        <v>#DIV/0!</v>
      </c>
      <c r="G42" s="2" t="e">
        <f>AVERAGE(Table91[Jil (size)])</f>
        <v>#DIV/0!</v>
      </c>
      <c r="H42" s="2" t="e">
        <f>AVERAGE(Table91[NetJSON (size)])</f>
        <v>#DIV/0!</v>
      </c>
      <c r="I42" s="2">
        <f>AVERAGE(Table91[Jackson (size)])</f>
        <v>48172180</v>
      </c>
      <c r="J42" s="2">
        <f>AVERAGE(Table91[DSL Platform Java (size)])</f>
        <v>48172180</v>
      </c>
      <c r="K42" s="2" t="e">
        <f>AVERAGE(Table91[Genson (size)])</f>
        <v>#DIV/0!</v>
      </c>
      <c r="L42" s="2" t="e">
        <f>AVERAGE(Table91[Boon (size)])</f>
        <v>#DIV/0!</v>
      </c>
      <c r="M42" s="2" t="e">
        <f>AVERAGE(Table91[Alibaba (size)])</f>
        <v>#DIV/0!</v>
      </c>
      <c r="N42" s="2" t="e">
        <f>AVERAGE(Table91[Gson (size)])</f>
        <v>#DIV/0!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DEVSQ(Table91[Newtonsoft])</f>
        <v>605.20000000000005</v>
      </c>
      <c r="D47" s="2">
        <f>DEVSQ(Table91[Revenj])</f>
        <v>69.2</v>
      </c>
      <c r="E47" s="2" t="e">
        <f>DEVSQ(Table91[fastJSON])</f>
        <v>#NUM!</v>
      </c>
      <c r="F47" s="2" t="e">
        <f>DEVSQ(Table91[Service Stack])</f>
        <v>#NUM!</v>
      </c>
      <c r="G47" s="2" t="e">
        <f>DEVSQ(Table91[Jil])</f>
        <v>#NUM!</v>
      </c>
      <c r="H47" s="2" t="e">
        <f>DEVSQ(Table91[NetJSON])</f>
        <v>#NUM!</v>
      </c>
      <c r="I47" s="2">
        <f>DEVSQ(Table91[Jackson])</f>
        <v>404.8</v>
      </c>
      <c r="J47" s="2">
        <f>DEVSQ(Table91[DSL Platform Java])</f>
        <v>44</v>
      </c>
      <c r="K47" s="2" t="e">
        <f>DEVSQ(Table91[Genson])</f>
        <v>#NUM!</v>
      </c>
      <c r="L47" s="2" t="e">
        <f>DEVSQ(Table91[Boon])</f>
        <v>#NUM!</v>
      </c>
      <c r="M47" s="2" t="e">
        <f>DEVSQ(Table91[Alibaba])</f>
        <v>#NUM!</v>
      </c>
      <c r="N47" s="2" t="e">
        <f>DEVSQ(Table91[Gson])</f>
        <v>#NUM!</v>
      </c>
      <c r="O47" s="2"/>
      <c r="P47" s="2"/>
      <c r="Q47" s="2"/>
    </row>
    <row r="48" spans="2:17" x14ac:dyDescent="0.25">
      <c r="B48" t="s">
        <v>25</v>
      </c>
      <c r="C48" s="2">
        <f>DEVSQ(Table93[Newtonsoft])</f>
        <v>1510.8000000000002</v>
      </c>
      <c r="D48" s="2">
        <f>DEVSQ(Table93[Revenj])</f>
        <v>189.20000000000002</v>
      </c>
      <c r="E48" s="2" t="e">
        <f>DEVSQ(Table93[fastJSON])</f>
        <v>#NUM!</v>
      </c>
      <c r="F48" s="2" t="e">
        <f>DEVSQ(Table93[Service Stack])</f>
        <v>#NUM!</v>
      </c>
      <c r="G48" s="2" t="e">
        <f>DEVSQ(Table93[Jil])</f>
        <v>#NUM!</v>
      </c>
      <c r="H48" s="2" t="e">
        <f>DEVSQ(Table93[NetJSON])</f>
        <v>#NUM!</v>
      </c>
      <c r="I48" s="2">
        <f>DEVSQ(Table93[Jackson])</f>
        <v>987.2</v>
      </c>
      <c r="J48" s="2">
        <f>DEVSQ(Table93[DSL Platform Java])</f>
        <v>318.8</v>
      </c>
      <c r="K48" s="2" t="e">
        <f>DEVSQ(Table93[Genson])</f>
        <v>#NUM!</v>
      </c>
      <c r="L48" s="2" t="e">
        <f>DEVSQ(Table93[Boon])</f>
        <v>#NUM!</v>
      </c>
      <c r="M48" s="2" t="e">
        <f>DEVSQ(Table93[Alibaba])</f>
        <v>#NUM!</v>
      </c>
      <c r="N48" s="2" t="e">
        <f>DEVSQ(Table93[Gson])</f>
        <v>#NUM!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567</v>
      </c>
      <c r="C52">
        <v>585</v>
      </c>
      <c r="H52">
        <v>473</v>
      </c>
      <c r="I52">
        <v>427</v>
      </c>
    </row>
    <row r="53" spans="2:25" x14ac:dyDescent="0.25">
      <c r="B53">
        <v>566</v>
      </c>
      <c r="C53">
        <v>572</v>
      </c>
      <c r="H53">
        <v>469</v>
      </c>
      <c r="I53">
        <v>425</v>
      </c>
    </row>
    <row r="54" spans="2:25" x14ac:dyDescent="0.25">
      <c r="B54">
        <v>567</v>
      </c>
      <c r="C54">
        <v>577</v>
      </c>
      <c r="H54">
        <v>474</v>
      </c>
      <c r="I54">
        <v>424</v>
      </c>
    </row>
    <row r="55" spans="2:25" x14ac:dyDescent="0.25">
      <c r="B55">
        <v>568</v>
      </c>
      <c r="C55">
        <v>589</v>
      </c>
      <c r="H55">
        <v>472</v>
      </c>
      <c r="I55">
        <v>425</v>
      </c>
    </row>
    <row r="56" spans="2:25" x14ac:dyDescent="0.25">
      <c r="B56">
        <v>565</v>
      </c>
      <c r="C56">
        <v>574</v>
      </c>
      <c r="H56">
        <v>473</v>
      </c>
      <c r="I56">
        <v>429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2255</v>
      </c>
      <c r="C60">
        <v>1018</v>
      </c>
      <c r="H60">
        <v>1405</v>
      </c>
      <c r="I60">
        <v>741</v>
      </c>
      <c r="N60">
        <v>62705819</v>
      </c>
      <c r="O60">
        <v>49485608</v>
      </c>
      <c r="T60">
        <v>48172180</v>
      </c>
      <c r="U60">
        <v>48172180</v>
      </c>
    </row>
    <row r="61" spans="2:25" x14ac:dyDescent="0.25">
      <c r="B61">
        <v>2265</v>
      </c>
      <c r="C61">
        <v>1016</v>
      </c>
      <c r="H61">
        <v>1394</v>
      </c>
      <c r="I61">
        <v>744</v>
      </c>
      <c r="N61">
        <v>62705819</v>
      </c>
      <c r="O61">
        <v>49485608</v>
      </c>
      <c r="T61">
        <v>48172180</v>
      </c>
      <c r="U61">
        <v>48172180</v>
      </c>
    </row>
    <row r="62" spans="2:25" x14ac:dyDescent="0.25">
      <c r="B62">
        <v>2254</v>
      </c>
      <c r="C62">
        <v>1021</v>
      </c>
      <c r="H62">
        <v>1404</v>
      </c>
      <c r="I62">
        <v>741</v>
      </c>
      <c r="N62">
        <v>62705819</v>
      </c>
      <c r="O62">
        <v>49485608</v>
      </c>
      <c r="T62">
        <v>48172180</v>
      </c>
      <c r="U62">
        <v>48172180</v>
      </c>
    </row>
    <row r="63" spans="2:25" x14ac:dyDescent="0.25">
      <c r="B63">
        <v>2232</v>
      </c>
      <c r="C63">
        <v>1021</v>
      </c>
      <c r="H63">
        <v>1406</v>
      </c>
      <c r="I63">
        <v>749</v>
      </c>
      <c r="N63">
        <v>62705819</v>
      </c>
      <c r="O63">
        <v>49485608</v>
      </c>
      <c r="T63">
        <v>48172180</v>
      </c>
      <c r="U63">
        <v>48172180</v>
      </c>
    </row>
    <row r="64" spans="2:25" x14ac:dyDescent="0.25">
      <c r="B64">
        <v>2246</v>
      </c>
      <c r="C64">
        <v>1027</v>
      </c>
      <c r="H64">
        <v>1422</v>
      </c>
      <c r="I64">
        <v>745</v>
      </c>
      <c r="N64">
        <v>62705819</v>
      </c>
      <c r="O64">
        <v>49485608</v>
      </c>
      <c r="T64">
        <v>48172180</v>
      </c>
      <c r="U64">
        <v>48172180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4781</v>
      </c>
      <c r="C68">
        <v>2120</v>
      </c>
      <c r="H68">
        <v>3307</v>
      </c>
      <c r="I68">
        <v>1037</v>
      </c>
    </row>
    <row r="69" spans="2:13" x14ac:dyDescent="0.25">
      <c r="B69">
        <v>4778</v>
      </c>
      <c r="C69">
        <v>2112</v>
      </c>
      <c r="H69">
        <v>3275</v>
      </c>
      <c r="I69">
        <v>1026</v>
      </c>
    </row>
    <row r="70" spans="2:13" x14ac:dyDescent="0.25">
      <c r="B70">
        <v>4779</v>
      </c>
      <c r="C70">
        <v>2102</v>
      </c>
      <c r="H70">
        <v>3293</v>
      </c>
      <c r="I70">
        <v>1024</v>
      </c>
    </row>
    <row r="71" spans="2:13" x14ac:dyDescent="0.25">
      <c r="B71">
        <v>4746</v>
      </c>
      <c r="C71">
        <v>2111</v>
      </c>
      <c r="H71">
        <v>3311</v>
      </c>
      <c r="I71">
        <v>1045</v>
      </c>
    </row>
    <row r="72" spans="2:13" x14ac:dyDescent="0.25">
      <c r="B72">
        <v>4800</v>
      </c>
      <c r="C72">
        <v>2117</v>
      </c>
      <c r="H72">
        <v>3312</v>
      </c>
      <c r="I72">
        <v>1027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72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8.5703125" customWidth="1"/>
  </cols>
  <sheetData>
    <row r="1" spans="2:2" x14ac:dyDescent="0.25">
      <c r="B1" t="s">
        <v>52</v>
      </c>
    </row>
    <row r="37" spans="2:17" x14ac:dyDescent="0.25">
      <c r="B37" t="s">
        <v>2</v>
      </c>
      <c r="C37" t="s">
        <v>54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AVERAGE(Table97[Newtonsoft])</f>
        <v>82176.800000000003</v>
      </c>
      <c r="D38" s="2">
        <f>AVERAGE(Table97[Revenj])</f>
        <v>82364.800000000003</v>
      </c>
      <c r="E38" s="2" t="e">
        <f>AVERAGE(Table97[fastJSON])</f>
        <v>#DIV/0!</v>
      </c>
      <c r="F38" s="2" t="e">
        <f>AVERAGE(Table97[Service Stack])</f>
        <v>#DIV/0!</v>
      </c>
      <c r="G38" s="2" t="e">
        <f>AVERAGE(Table97[Jil])</f>
        <v>#DIV/0!</v>
      </c>
      <c r="H38" s="2" t="e">
        <f>AVERAGE(Table97[NetJSON])</f>
        <v>#DIV/0!</v>
      </c>
      <c r="I38" s="2">
        <f>AVERAGE(Table97[Jackson])</f>
        <v>7603.8</v>
      </c>
      <c r="J38" s="2">
        <f>AVERAGE(Table97[DSL Platform Java])</f>
        <v>7501.2</v>
      </c>
      <c r="K38" s="2" t="e">
        <f>AVERAGE(Table97[Genson])</f>
        <v>#DIV/0!</v>
      </c>
      <c r="L38" s="2" t="e">
        <f>AVERAGE(Table97[Boon])</f>
        <v>#DIV/0!</v>
      </c>
      <c r="M38" s="2" t="e">
        <f>AVERAGE(Table97[Alibaba])</f>
        <v>#DIV/0!</v>
      </c>
      <c r="N38" s="2" t="e">
        <f>AVERAGE(Table97[Gson])</f>
        <v>#DIV/0!</v>
      </c>
      <c r="O38" s="2"/>
      <c r="P38" s="2"/>
      <c r="Q38" s="2"/>
    </row>
    <row r="39" spans="2:17" x14ac:dyDescent="0.25">
      <c r="B39" t="s">
        <v>0</v>
      </c>
      <c r="C39" s="2">
        <f>AVERAGE(Table96[Newtonsoft]) - C38</f>
        <v>127530.59999999999</v>
      </c>
      <c r="D39" s="2">
        <f>AVERAGE(Table96[Revenj]) - D38</f>
        <v>54177.2</v>
      </c>
      <c r="E39" s="2" t="e">
        <f>AVERAGE(Table96[fastJSON]) - E38</f>
        <v>#DIV/0!</v>
      </c>
      <c r="F39" s="2" t="e">
        <f>AVERAGE(Table96[Service Stack]) - F38</f>
        <v>#DIV/0!</v>
      </c>
      <c r="G39" s="2" t="e">
        <f>AVERAGE(Table96[Jil]) - G38</f>
        <v>#DIV/0!</v>
      </c>
      <c r="H39" s="2" t="e">
        <f>AVERAGE(Table96[NetJSON]) - H38</f>
        <v>#DIV/0!</v>
      </c>
      <c r="I39" s="2">
        <f>AVERAGE(Table96[Jackson]) - I38</f>
        <v>61435</v>
      </c>
      <c r="J39" s="2">
        <f>AVERAGE(Table96[DSL Platform Java]) - J38</f>
        <v>23136.2</v>
      </c>
      <c r="K39" s="2" t="e">
        <f>AVERAGE(Table96[Genson]) - K38</f>
        <v>#DIV/0!</v>
      </c>
      <c r="L39" s="2" t="e">
        <f>AVERAGE(Table96[Boon]) - L38</f>
        <v>#DIV/0!</v>
      </c>
      <c r="M39" s="2" t="e">
        <f>AVERAGE(Table96[Alibaba]) - M38</f>
        <v>#DIV/0!</v>
      </c>
      <c r="N39" s="2" t="e">
        <f>AVERAGE(Table96[Gson]) - N38</f>
        <v>#DIV/0!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236586.40000000002</v>
      </c>
      <c r="D40" s="2">
        <f t="shared" si="0"/>
        <v>140717</v>
      </c>
      <c r="E40" s="2" t="e">
        <f t="shared" ref="E40" si="1">E41 - E39 - E38</f>
        <v>#DIV/0!</v>
      </c>
      <c r="F40" s="2" t="e">
        <f t="shared" si="0"/>
        <v>#DIV/0!</v>
      </c>
      <c r="G40" s="2" t="e">
        <f t="shared" si="0"/>
        <v>#DIV/0!</v>
      </c>
      <c r="H40" s="2" t="e">
        <f t="shared" si="0"/>
        <v>#DIV/0!</v>
      </c>
      <c r="I40" s="2">
        <f t="shared" ref="I40" si="2">I41 - I39 - I38</f>
        <v>113345.99999999999</v>
      </c>
      <c r="J40" s="2">
        <f t="shared" ref="J40" si="3">J41 - J39 - J38</f>
        <v>24368.799999999996</v>
      </c>
      <c r="K40" s="2" t="e">
        <f t="shared" ref="K40:L40" si="4">K41 - K39 - K38</f>
        <v>#DIV/0!</v>
      </c>
      <c r="L40" s="2" t="e">
        <f t="shared" si="4"/>
        <v>#DIV/0!</v>
      </c>
      <c r="M40" s="2" t="e">
        <f t="shared" ref="M40" si="5">M41 - M39 - M38</f>
        <v>#DIV/0!</v>
      </c>
      <c r="N40" s="2" t="e">
        <f t="shared" ref="N40" si="6">N41 - N39 - N38</f>
        <v>#DIV/0!</v>
      </c>
      <c r="O40" s="2"/>
      <c r="P40" s="2"/>
      <c r="Q40" s="2"/>
    </row>
    <row r="41" spans="2:17" x14ac:dyDescent="0.25">
      <c r="B41" t="s">
        <v>25</v>
      </c>
      <c r="C41" s="2">
        <f>AVERAGE(Table98[Newtonsoft])</f>
        <v>446293.8</v>
      </c>
      <c r="D41" s="2">
        <f>AVERAGE(Table98[Revenj])</f>
        <v>277259</v>
      </c>
      <c r="E41" s="2" t="e">
        <f>AVERAGE(Table98[fastJSON])</f>
        <v>#DIV/0!</v>
      </c>
      <c r="F41" s="2" t="e">
        <f>AVERAGE(Table98[Service Stack])</f>
        <v>#DIV/0!</v>
      </c>
      <c r="G41" s="2" t="e">
        <f>AVERAGE(Table98[Jil])</f>
        <v>#DIV/0!</v>
      </c>
      <c r="H41" s="2" t="e">
        <f>AVERAGE(Table98[NetJSON])</f>
        <v>#DIV/0!</v>
      </c>
      <c r="I41" s="2">
        <f>AVERAGE(Table98[Jackson])</f>
        <v>182384.8</v>
      </c>
      <c r="J41" s="2">
        <f>AVERAGE(Table98[DSL Platform Java])</f>
        <v>55006.2</v>
      </c>
      <c r="K41" s="2" t="e">
        <f>AVERAGE(Table98[Genson])</f>
        <v>#DIV/0!</v>
      </c>
      <c r="L41" s="2" t="e">
        <f>AVERAGE(Table98[Boon])</f>
        <v>#DIV/0!</v>
      </c>
      <c r="M41" s="2" t="e">
        <f>AVERAGE(Table98[Alibaba])</f>
        <v>#DIV/0!</v>
      </c>
      <c r="N41" s="2" t="e">
        <f>AVERAGE(Table98[Gson])</f>
        <v>#DIV/0!</v>
      </c>
      <c r="O41" s="2"/>
      <c r="P41" s="2"/>
      <c r="Q41" s="2"/>
    </row>
    <row r="42" spans="2:17" x14ac:dyDescent="0.25">
      <c r="B42" t="s">
        <v>4</v>
      </c>
      <c r="C42" s="3">
        <f>AVERAGE(Table96[Newtonsoft (size)])</f>
        <v>9797315916</v>
      </c>
      <c r="D42" s="3">
        <f>AVERAGE(Table96[Revenj (size)])</f>
        <v>9490545095</v>
      </c>
      <c r="E42" s="3" t="e">
        <f>AVERAGE(Table96[fastJSON (size)])</f>
        <v>#DIV/0!</v>
      </c>
      <c r="F42" s="3" t="e">
        <f>AVERAGE(Table96[Service Stack (size)])</f>
        <v>#DIV/0!</v>
      </c>
      <c r="G42" s="2" t="e">
        <f>AVERAGE(Table96[Jil (size)])</f>
        <v>#DIV/0!</v>
      </c>
      <c r="H42" s="2" t="e">
        <f>AVERAGE(Table96[NetJSON (size)])</f>
        <v>#DIV/0!</v>
      </c>
      <c r="I42" s="2">
        <f>AVERAGE(Table96[Jackson (size)])</f>
        <v>9388310815</v>
      </c>
      <c r="J42" s="2">
        <f>AVERAGE(Table96[DSL Platform Java (size)])</f>
        <v>9388310815</v>
      </c>
      <c r="K42" s="2" t="e">
        <f>AVERAGE(Table96[Genson (size)])</f>
        <v>#DIV/0!</v>
      </c>
      <c r="L42" s="2" t="e">
        <f>AVERAGE(Table96[Boon (size)])</f>
        <v>#DIV/0!</v>
      </c>
      <c r="M42" s="2" t="e">
        <f>AVERAGE(Table96[Alibaba (size)])</f>
        <v>#DIV/0!</v>
      </c>
      <c r="N42" s="2" t="e">
        <f>AVERAGE(Table96[Gson (size)])</f>
        <v>#DIV/0!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DEVSQ(Table96[Newtonsoft])</f>
        <v>4726317.2</v>
      </c>
      <c r="D47" s="2">
        <f>DEVSQ(Table96[Revenj])</f>
        <v>4013458</v>
      </c>
      <c r="E47" s="2" t="e">
        <f>DEVSQ(Table96[fastJSON])</f>
        <v>#NUM!</v>
      </c>
      <c r="F47" s="2" t="e">
        <f>DEVSQ(Table96[Service Stack])</f>
        <v>#NUM!</v>
      </c>
      <c r="G47" s="2" t="e">
        <f>DEVSQ(Table96[Jil])</f>
        <v>#NUM!</v>
      </c>
      <c r="H47" s="2" t="e">
        <f>DEVSQ(Table96[NetJSON])</f>
        <v>#NUM!</v>
      </c>
      <c r="I47" s="2">
        <f>DEVSQ(Table96[Jackson])</f>
        <v>678174.8</v>
      </c>
      <c r="J47" s="2">
        <f>DEVSQ(Table96[DSL Platform Java])</f>
        <v>281953.2</v>
      </c>
      <c r="K47" s="2" t="e">
        <f>DEVSQ(Table96[Genson])</f>
        <v>#NUM!</v>
      </c>
      <c r="L47" s="2" t="e">
        <f>DEVSQ(Table96[Boon])</f>
        <v>#NUM!</v>
      </c>
      <c r="M47" s="2" t="e">
        <f>DEVSQ(Table96[Alibaba])</f>
        <v>#NUM!</v>
      </c>
      <c r="N47" s="2" t="e">
        <f>DEVSQ(Table96[Gson])</f>
        <v>#NUM!</v>
      </c>
      <c r="O47" s="2"/>
      <c r="P47" s="2"/>
      <c r="Q47" s="2"/>
    </row>
    <row r="48" spans="2:17" x14ac:dyDescent="0.25">
      <c r="B48" t="s">
        <v>25</v>
      </c>
      <c r="C48" s="2">
        <f>DEVSQ(Table98[Newtonsoft])</f>
        <v>1551078.8</v>
      </c>
      <c r="D48" s="2">
        <f>DEVSQ(Table98[Revenj])</f>
        <v>1398436</v>
      </c>
      <c r="E48" s="2" t="e">
        <f>DEVSQ(Table98[fastJSON])</f>
        <v>#NUM!</v>
      </c>
      <c r="F48" s="2" t="e">
        <f>DEVSQ(Table98[Service Stack])</f>
        <v>#NUM!</v>
      </c>
      <c r="G48" s="2" t="e">
        <f>DEVSQ(Table98[Jil])</f>
        <v>#NUM!</v>
      </c>
      <c r="H48" s="2" t="e">
        <f>DEVSQ(Table98[NetJSON])</f>
        <v>#NUM!</v>
      </c>
      <c r="I48" s="2">
        <f>DEVSQ(Table98[Jackson])</f>
        <v>29005374.799999997</v>
      </c>
      <c r="J48" s="2">
        <f>DEVSQ(Table98[DSL Platform Java])</f>
        <v>805492.8</v>
      </c>
      <c r="K48" s="2" t="e">
        <f>DEVSQ(Table98[Genson])</f>
        <v>#NUM!</v>
      </c>
      <c r="L48" s="2" t="e">
        <f>DEVSQ(Table98[Boon])</f>
        <v>#NUM!</v>
      </c>
      <c r="M48" s="2" t="e">
        <f>DEVSQ(Table98[Alibaba])</f>
        <v>#NUM!</v>
      </c>
      <c r="N48" s="2" t="e">
        <f>DEVSQ(Table98[Gson])</f>
        <v>#NUM!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82768</v>
      </c>
      <c r="C52">
        <v>82833</v>
      </c>
      <c r="H52">
        <v>7490</v>
      </c>
      <c r="I52">
        <v>7279</v>
      </c>
    </row>
    <row r="53" spans="2:25" x14ac:dyDescent="0.25">
      <c r="B53">
        <v>81717</v>
      </c>
      <c r="C53">
        <v>81565</v>
      </c>
      <c r="H53">
        <v>7616</v>
      </c>
      <c r="I53">
        <v>7559</v>
      </c>
    </row>
    <row r="54" spans="2:25" x14ac:dyDescent="0.25">
      <c r="B54">
        <v>82484</v>
      </c>
      <c r="C54">
        <v>82738</v>
      </c>
      <c r="H54">
        <v>7422</v>
      </c>
      <c r="I54">
        <v>7460</v>
      </c>
    </row>
    <row r="55" spans="2:25" x14ac:dyDescent="0.25">
      <c r="B55">
        <v>81909</v>
      </c>
      <c r="C55">
        <v>81775</v>
      </c>
      <c r="H55">
        <v>7746</v>
      </c>
      <c r="I55">
        <v>7559</v>
      </c>
    </row>
    <row r="56" spans="2:25" x14ac:dyDescent="0.25">
      <c r="B56">
        <v>82006</v>
      </c>
      <c r="C56">
        <v>82913</v>
      </c>
      <c r="H56">
        <v>7745</v>
      </c>
      <c r="I56">
        <v>7649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209034</v>
      </c>
      <c r="C60">
        <v>135280</v>
      </c>
      <c r="H60">
        <v>68659</v>
      </c>
      <c r="I60">
        <v>30652</v>
      </c>
      <c r="N60">
        <v>9797315916</v>
      </c>
      <c r="O60">
        <v>9490545095</v>
      </c>
      <c r="T60">
        <v>9388310815</v>
      </c>
      <c r="U60">
        <v>9388310815</v>
      </c>
    </row>
    <row r="61" spans="2:25" x14ac:dyDescent="0.25">
      <c r="B61">
        <v>209959</v>
      </c>
      <c r="C61">
        <v>137518</v>
      </c>
      <c r="H61">
        <v>69674</v>
      </c>
      <c r="I61">
        <v>30787</v>
      </c>
      <c r="N61">
        <v>9797315916</v>
      </c>
      <c r="O61">
        <v>9490545095</v>
      </c>
      <c r="T61">
        <v>9388310815</v>
      </c>
      <c r="U61">
        <v>9388310815</v>
      </c>
    </row>
    <row r="62" spans="2:25" x14ac:dyDescent="0.25">
      <c r="B62">
        <v>210103</v>
      </c>
      <c r="C62">
        <v>135875</v>
      </c>
      <c r="H62">
        <v>68694</v>
      </c>
      <c r="I62">
        <v>30985</v>
      </c>
      <c r="N62">
        <v>9797315916</v>
      </c>
      <c r="O62">
        <v>9490545095</v>
      </c>
      <c r="T62">
        <v>9388310815</v>
      </c>
      <c r="U62">
        <v>9388310815</v>
      </c>
    </row>
    <row r="63" spans="2:25" x14ac:dyDescent="0.25">
      <c r="B63">
        <v>208297</v>
      </c>
      <c r="C63">
        <v>136485</v>
      </c>
      <c r="H63">
        <v>69145</v>
      </c>
      <c r="I63">
        <v>30443</v>
      </c>
      <c r="N63">
        <v>9797315916</v>
      </c>
      <c r="O63">
        <v>9490545095</v>
      </c>
      <c r="T63">
        <v>9388310815</v>
      </c>
      <c r="U63">
        <v>9388310815</v>
      </c>
    </row>
    <row r="64" spans="2:25" x14ac:dyDescent="0.25">
      <c r="B64">
        <v>211144</v>
      </c>
      <c r="C64">
        <v>137552</v>
      </c>
      <c r="H64">
        <v>69022</v>
      </c>
      <c r="I64">
        <v>30320</v>
      </c>
      <c r="N64">
        <v>9797315916</v>
      </c>
      <c r="O64">
        <v>9490545095</v>
      </c>
      <c r="T64">
        <v>9388310815</v>
      </c>
      <c r="U64">
        <v>9388310815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446527</v>
      </c>
      <c r="C68">
        <v>276822</v>
      </c>
      <c r="H68">
        <v>181945</v>
      </c>
      <c r="I68">
        <v>54723</v>
      </c>
    </row>
    <row r="69" spans="2:13" x14ac:dyDescent="0.25">
      <c r="B69">
        <v>446118</v>
      </c>
      <c r="C69">
        <v>276722</v>
      </c>
      <c r="H69">
        <v>179330</v>
      </c>
      <c r="I69">
        <v>55711</v>
      </c>
    </row>
    <row r="70" spans="2:13" x14ac:dyDescent="0.25">
      <c r="B70">
        <v>445677</v>
      </c>
      <c r="C70">
        <v>277731</v>
      </c>
      <c r="H70">
        <v>180940</v>
      </c>
      <c r="I70">
        <v>54783</v>
      </c>
    </row>
    <row r="71" spans="2:13" x14ac:dyDescent="0.25">
      <c r="B71">
        <v>445892</v>
      </c>
      <c r="C71">
        <v>276976</v>
      </c>
      <c r="H71">
        <v>183243</v>
      </c>
      <c r="I71">
        <v>54625</v>
      </c>
    </row>
    <row r="72" spans="2:13" x14ac:dyDescent="0.25">
      <c r="B72">
        <v>447255</v>
      </c>
      <c r="C72">
        <v>278044</v>
      </c>
      <c r="H72">
        <v>186466</v>
      </c>
      <c r="I72">
        <v>55189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2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36</v>
      </c>
    </row>
    <row r="37" spans="2:17" x14ac:dyDescent="0.25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AVERAGE(Table17[Newtonsoft])</f>
        <v>77</v>
      </c>
      <c r="D38" s="2">
        <f>AVERAGE(Table17[Revenj])</f>
        <v>78</v>
      </c>
      <c r="E38" s="2">
        <f>AVERAGE(Table17[fastJSON])</f>
        <v>77.599999999999994</v>
      </c>
      <c r="F38" s="2">
        <f>AVERAGE(Table17[Service Stack])</f>
        <v>79.2</v>
      </c>
      <c r="G38" s="2">
        <f>AVERAGE(Table17[Jil])</f>
        <v>79.400000000000006</v>
      </c>
      <c r="H38" s="2">
        <f>AVERAGE(Table17[NetJSON])</f>
        <v>76</v>
      </c>
      <c r="I38" s="2">
        <f>AVERAGE(Table17[Jackson])</f>
        <v>41</v>
      </c>
      <c r="J38" s="2">
        <f>AVERAGE(Table17[DSL Platform Java])</f>
        <v>42.6</v>
      </c>
      <c r="K38" s="2">
        <f>AVERAGE(Table17[Genson])</f>
        <v>41</v>
      </c>
      <c r="L38" s="2">
        <f>AVERAGE(Table17[Boon])</f>
        <v>47.2</v>
      </c>
      <c r="M38" s="2">
        <f>AVERAGE(Table17[Alibaba])</f>
        <v>48.2</v>
      </c>
      <c r="N38" s="2">
        <f>AVERAGE(Table17[Gson])</f>
        <v>45.8</v>
      </c>
      <c r="O38" s="2"/>
      <c r="P38" s="2"/>
      <c r="Q38" s="2"/>
    </row>
    <row r="39" spans="2:17" x14ac:dyDescent="0.25">
      <c r="B39" t="s">
        <v>0</v>
      </c>
      <c r="C39" s="2">
        <f>AVERAGE(Table16[Newtonsoft]) - C38</f>
        <v>402</v>
      </c>
      <c r="D39" s="2">
        <f>AVERAGE(Table16[Revenj]) - D38</f>
        <v>67.800000000000011</v>
      </c>
      <c r="E39" s="2">
        <f>AVERAGE(Table16[fastJSON]) - E38</f>
        <v>192.4</v>
      </c>
      <c r="F39" s="2">
        <f>AVERAGE(Table16[Service Stack]) - F38</f>
        <v>422.2</v>
      </c>
      <c r="G39" s="2">
        <f>AVERAGE(Table16[Jil]) - G38</f>
        <v>675.4</v>
      </c>
      <c r="H39" s="2">
        <f>AVERAGE(Table16[NetJSON]) - H38</f>
        <v>310.60000000000002</v>
      </c>
      <c r="I39" s="2">
        <f>AVERAGE(Table16[Jackson]) - I38</f>
        <v>477.79999999999995</v>
      </c>
      <c r="J39" s="2">
        <f>AVERAGE(Table16[DSL Platform Java]) - J38</f>
        <v>48.800000000000004</v>
      </c>
      <c r="K39" s="2">
        <f>AVERAGE(Table16[Genson]) - K38</f>
        <v>733.6</v>
      </c>
      <c r="L39" s="2">
        <f>AVERAGE(Table16[Boon]) - L38</f>
        <v>402.2</v>
      </c>
      <c r="M39" s="2">
        <f>AVERAGE(Table16[Alibaba]) - M38</f>
        <v>360.8</v>
      </c>
      <c r="N39" s="2">
        <f>AVERAGE(Table16[Gson]) - N38</f>
        <v>339.4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539</v>
      </c>
      <c r="D40" s="2">
        <f t="shared" si="0"/>
        <v>160.59999999999997</v>
      </c>
      <c r="E40" s="2">
        <f t="shared" ref="E40" si="1">E41 - E39 - E38</f>
        <v>410.4</v>
      </c>
      <c r="F40" s="2">
        <f t="shared" si="0"/>
        <v>486.59999999999997</v>
      </c>
      <c r="G40" s="2">
        <f t="shared" si="0"/>
        <v>346.79999999999995</v>
      </c>
      <c r="H40" s="2">
        <f t="shared" si="0"/>
        <v>117.39999999999998</v>
      </c>
      <c r="I40" s="2">
        <f t="shared" ref="I40" si="2">I41 - I39 - I38</f>
        <v>525.79999999999995</v>
      </c>
      <c r="J40" s="2">
        <f t="shared" ref="J40" si="3">J41 - J39 - J38</f>
        <v>101.6</v>
      </c>
      <c r="K40" s="2">
        <f t="shared" ref="K40:L40" si="4">K41 - K39 - K38</f>
        <v>739.4</v>
      </c>
      <c r="L40" s="2">
        <f t="shared" si="4"/>
        <v>967</v>
      </c>
      <c r="M40" s="2">
        <f t="shared" ref="M40" si="5">M41 - M39 - M38</f>
        <v>287.60000000000002</v>
      </c>
      <c r="N40" s="2">
        <f t="shared" ref="N40" si="6">N41 - N39 - N38</f>
        <v>299.40000000000003</v>
      </c>
      <c r="O40" s="2"/>
      <c r="P40" s="2"/>
      <c r="Q40" s="2"/>
    </row>
    <row r="41" spans="2:17" x14ac:dyDescent="0.25">
      <c r="B41" t="s">
        <v>25</v>
      </c>
      <c r="C41" s="2">
        <f>AVERAGE(Table18[Newtonsoft])</f>
        <v>1018</v>
      </c>
      <c r="D41" s="2">
        <f>AVERAGE(Table18[Revenj])</f>
        <v>306.39999999999998</v>
      </c>
      <c r="E41" s="2">
        <f>AVERAGE(Table18[fastJSON])</f>
        <v>680.4</v>
      </c>
      <c r="F41" s="2">
        <f>AVERAGE(Table18[Service Stack])</f>
        <v>988</v>
      </c>
      <c r="G41" s="2">
        <f>AVERAGE(Table18[Jil])</f>
        <v>1101.5999999999999</v>
      </c>
      <c r="H41" s="2">
        <f>AVERAGE(Table18[NetJSON])</f>
        <v>504</v>
      </c>
      <c r="I41" s="2">
        <f>AVERAGE(Table18[Jackson])</f>
        <v>1044.5999999999999</v>
      </c>
      <c r="J41" s="2">
        <f>AVERAGE(Table18[DSL Platform Java])</f>
        <v>193</v>
      </c>
      <c r="K41" s="2">
        <f>AVERAGE(Table18[Genson])</f>
        <v>1514</v>
      </c>
      <c r="L41" s="2">
        <f>AVERAGE(Table18[Boon])</f>
        <v>1416.4</v>
      </c>
      <c r="M41" s="2">
        <f>AVERAGE(Table18[Alibaba])</f>
        <v>696.6</v>
      </c>
      <c r="N41" s="2">
        <f>AVERAGE(Table18[Gson])</f>
        <v>684.6</v>
      </c>
      <c r="O41" s="2"/>
      <c r="P41" s="2"/>
      <c r="Q41" s="2"/>
    </row>
    <row r="42" spans="2:17" x14ac:dyDescent="0.25">
      <c r="B42" t="s">
        <v>4</v>
      </c>
      <c r="C42" s="3">
        <f>AVERAGE(Table16[Newtonsoft (size)])</f>
        <v>4777780</v>
      </c>
      <c r="D42" s="3">
        <f>AVERAGE(Table16[Revenj (size)])</f>
        <v>4777768</v>
      </c>
      <c r="E42" s="3">
        <f>AVERAGE(Table16[fastJSON (size)])</f>
        <v>4777780</v>
      </c>
      <c r="F42" s="3">
        <f>AVERAGE(Table16[Service Stack (size)])</f>
        <v>4777780</v>
      </c>
      <c r="G42" s="2">
        <f>AVERAGE(Table16[Jil (size)])</f>
        <v>4777780</v>
      </c>
      <c r="H42" s="2">
        <f>AVERAGE(Table16[NetJSON (size)])</f>
        <v>4777768</v>
      </c>
      <c r="I42" s="2">
        <f>AVERAGE(Table16[Jackson (size)])</f>
        <v>4777768</v>
      </c>
      <c r="J42" s="2">
        <f>AVERAGE(Table16[DSL Platform Java (size)])</f>
        <v>4777768</v>
      </c>
      <c r="K42" s="2">
        <f>AVERAGE(Table16[Genson (size)])</f>
        <v>4777780</v>
      </c>
      <c r="L42" s="2">
        <f>AVERAGE(Table16[Boon (size)])</f>
        <v>4777768</v>
      </c>
      <c r="M42" s="2">
        <f>AVERAGE(Table16[Alibaba (size)])</f>
        <v>4777780</v>
      </c>
      <c r="N42" s="2">
        <f>AVERAGE(Table16[Gson (size)])</f>
        <v>4777780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DEVSQ(Table16[Newtonsoft])</f>
        <v>4</v>
      </c>
      <c r="D47" s="2">
        <f>DEVSQ(Table16[Revenj])</f>
        <v>24.8</v>
      </c>
      <c r="E47" s="2">
        <f>DEVSQ(Table16[fastJSON])</f>
        <v>2</v>
      </c>
      <c r="F47" s="2">
        <f>DEVSQ(Table16[Service Stack])</f>
        <v>5.1999999999999993</v>
      </c>
      <c r="G47" s="2">
        <f>DEVSQ(Table16[Jil])</f>
        <v>30.8</v>
      </c>
      <c r="H47" s="2">
        <f>DEVSQ(Table16[NetJSON])</f>
        <v>3.2</v>
      </c>
      <c r="I47" s="2">
        <f>DEVSQ(Table16[Jackson])</f>
        <v>14.800000000000002</v>
      </c>
      <c r="J47" s="2">
        <f>DEVSQ(Table16[DSL Platform Java])</f>
        <v>1.2</v>
      </c>
      <c r="K47" s="2">
        <f>DEVSQ(Table16[Genson])</f>
        <v>45.2</v>
      </c>
      <c r="L47" s="2">
        <f>DEVSQ(Table16[Boon])</f>
        <v>3.2</v>
      </c>
      <c r="M47" s="2">
        <f>DEVSQ(Table16[Alibaba])</f>
        <v>2</v>
      </c>
      <c r="N47" s="2">
        <f>DEVSQ(Table16[Gson])</f>
        <v>10.8</v>
      </c>
      <c r="O47" s="2"/>
      <c r="P47" s="2"/>
      <c r="Q47" s="2"/>
    </row>
    <row r="48" spans="2:17" x14ac:dyDescent="0.25">
      <c r="B48" t="s">
        <v>25</v>
      </c>
      <c r="C48" s="2">
        <f>DEVSQ(Table18[Newtonsoft])</f>
        <v>28</v>
      </c>
      <c r="D48" s="2">
        <f>DEVSQ(Table18[Revenj])</f>
        <v>11.200000000000001</v>
      </c>
      <c r="E48" s="2">
        <f>DEVSQ(Table18[fastJSON])</f>
        <v>131.19999999999999</v>
      </c>
      <c r="F48" s="2">
        <f>DEVSQ(Table18[Service Stack])</f>
        <v>74494</v>
      </c>
      <c r="G48" s="2">
        <f>DEVSQ(Table18[Jil])</f>
        <v>39.200000000000003</v>
      </c>
      <c r="H48" s="2">
        <f>DEVSQ(Table18[NetJSON])</f>
        <v>22</v>
      </c>
      <c r="I48" s="2">
        <f>DEVSQ(Table18[Jackson])</f>
        <v>305.2</v>
      </c>
      <c r="J48" s="2">
        <f>DEVSQ(Table18[DSL Platform Java])</f>
        <v>6</v>
      </c>
      <c r="K48" s="2">
        <f>DEVSQ(Table18[Genson])</f>
        <v>2108</v>
      </c>
      <c r="L48" s="2">
        <f>DEVSQ(Table18[Boon])</f>
        <v>541.20000000000005</v>
      </c>
      <c r="M48" s="2">
        <f>DEVSQ(Table18[Alibaba])</f>
        <v>25.200000000000003</v>
      </c>
      <c r="N48" s="2">
        <f>DEVSQ(Table18[Gson])</f>
        <v>565.19999999999993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77</v>
      </c>
      <c r="C52">
        <v>78</v>
      </c>
      <c r="D52">
        <v>77</v>
      </c>
      <c r="E52">
        <v>79</v>
      </c>
      <c r="F52">
        <v>79</v>
      </c>
      <c r="G52">
        <v>76</v>
      </c>
      <c r="H52">
        <v>41</v>
      </c>
      <c r="I52">
        <v>42</v>
      </c>
      <c r="J52">
        <v>41</v>
      </c>
      <c r="K52">
        <v>47</v>
      </c>
      <c r="L52">
        <v>48</v>
      </c>
      <c r="M52">
        <v>46</v>
      </c>
    </row>
    <row r="53" spans="2:25" x14ac:dyDescent="0.25">
      <c r="B53">
        <v>77</v>
      </c>
      <c r="C53">
        <v>78</v>
      </c>
      <c r="D53">
        <v>78</v>
      </c>
      <c r="E53">
        <v>79</v>
      </c>
      <c r="F53">
        <v>79</v>
      </c>
      <c r="G53">
        <v>76</v>
      </c>
      <c r="H53">
        <v>41</v>
      </c>
      <c r="I53">
        <v>43</v>
      </c>
      <c r="J53">
        <v>41</v>
      </c>
      <c r="K53">
        <v>47</v>
      </c>
      <c r="L53">
        <v>49</v>
      </c>
      <c r="M53">
        <v>46</v>
      </c>
    </row>
    <row r="54" spans="2:25" x14ac:dyDescent="0.25">
      <c r="B54">
        <v>77</v>
      </c>
      <c r="C54">
        <v>78</v>
      </c>
      <c r="D54">
        <v>77</v>
      </c>
      <c r="E54">
        <v>79</v>
      </c>
      <c r="F54">
        <v>79</v>
      </c>
      <c r="G54">
        <v>76</v>
      </c>
      <c r="H54">
        <v>41</v>
      </c>
      <c r="I54">
        <v>42</v>
      </c>
      <c r="J54">
        <v>41</v>
      </c>
      <c r="K54">
        <v>48</v>
      </c>
      <c r="L54">
        <v>48</v>
      </c>
      <c r="M54">
        <v>45</v>
      </c>
    </row>
    <row r="55" spans="2:25" x14ac:dyDescent="0.25">
      <c r="B55">
        <v>77</v>
      </c>
      <c r="C55">
        <v>78</v>
      </c>
      <c r="D55">
        <v>78</v>
      </c>
      <c r="E55">
        <v>80</v>
      </c>
      <c r="F55">
        <v>80</v>
      </c>
      <c r="G55">
        <v>76</v>
      </c>
      <c r="H55">
        <v>41</v>
      </c>
      <c r="I55">
        <v>43</v>
      </c>
      <c r="J55">
        <v>41</v>
      </c>
      <c r="K55">
        <v>47</v>
      </c>
      <c r="L55">
        <v>48</v>
      </c>
      <c r="M55">
        <v>46</v>
      </c>
    </row>
    <row r="56" spans="2:25" x14ac:dyDescent="0.25">
      <c r="B56">
        <v>77</v>
      </c>
      <c r="C56">
        <v>78</v>
      </c>
      <c r="D56">
        <v>78</v>
      </c>
      <c r="E56">
        <v>79</v>
      </c>
      <c r="F56">
        <v>80</v>
      </c>
      <c r="G56">
        <v>76</v>
      </c>
      <c r="H56">
        <v>41</v>
      </c>
      <c r="I56">
        <v>43</v>
      </c>
      <c r="J56">
        <v>41</v>
      </c>
      <c r="K56">
        <v>47</v>
      </c>
      <c r="L56">
        <v>48</v>
      </c>
      <c r="M56">
        <v>46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478</v>
      </c>
      <c r="C60">
        <v>146</v>
      </c>
      <c r="D60">
        <v>270</v>
      </c>
      <c r="E60">
        <v>501</v>
      </c>
      <c r="F60">
        <v>753</v>
      </c>
      <c r="G60">
        <v>386</v>
      </c>
      <c r="H60">
        <v>522</v>
      </c>
      <c r="I60">
        <v>91</v>
      </c>
      <c r="J60">
        <v>779</v>
      </c>
      <c r="K60">
        <v>450</v>
      </c>
      <c r="L60">
        <v>409</v>
      </c>
      <c r="M60">
        <v>387</v>
      </c>
      <c r="N60">
        <v>4777780</v>
      </c>
      <c r="O60">
        <v>4777768</v>
      </c>
      <c r="P60">
        <v>4777780</v>
      </c>
      <c r="Q60">
        <v>4777780</v>
      </c>
      <c r="R60">
        <v>4777780</v>
      </c>
      <c r="S60">
        <v>4777768</v>
      </c>
      <c r="T60">
        <v>4777768</v>
      </c>
      <c r="U60">
        <v>4777768</v>
      </c>
      <c r="V60">
        <v>4777780</v>
      </c>
      <c r="W60">
        <v>4777768</v>
      </c>
      <c r="X60">
        <v>4777780</v>
      </c>
      <c r="Y60">
        <v>4777780</v>
      </c>
    </row>
    <row r="61" spans="2:25" x14ac:dyDescent="0.25">
      <c r="B61">
        <v>480</v>
      </c>
      <c r="C61">
        <v>145</v>
      </c>
      <c r="D61">
        <v>270</v>
      </c>
      <c r="E61">
        <v>503</v>
      </c>
      <c r="F61">
        <v>756</v>
      </c>
      <c r="G61">
        <v>388</v>
      </c>
      <c r="H61">
        <v>518</v>
      </c>
      <c r="I61">
        <v>91</v>
      </c>
      <c r="J61">
        <v>774</v>
      </c>
      <c r="K61">
        <v>450</v>
      </c>
      <c r="L61">
        <v>410</v>
      </c>
      <c r="M61">
        <v>384</v>
      </c>
      <c r="N61">
        <v>4777780</v>
      </c>
      <c r="O61">
        <v>4777768</v>
      </c>
      <c r="P61">
        <v>4777780</v>
      </c>
      <c r="Q61">
        <v>4777780</v>
      </c>
      <c r="R61">
        <v>4777780</v>
      </c>
      <c r="S61">
        <v>4777768</v>
      </c>
      <c r="T61">
        <v>4777768</v>
      </c>
      <c r="U61">
        <v>4777768</v>
      </c>
      <c r="V61">
        <v>4777780</v>
      </c>
      <c r="W61">
        <v>4777768</v>
      </c>
      <c r="X61">
        <v>4777780</v>
      </c>
      <c r="Y61">
        <v>4777780</v>
      </c>
    </row>
    <row r="62" spans="2:25" x14ac:dyDescent="0.25">
      <c r="B62">
        <v>479</v>
      </c>
      <c r="C62">
        <v>144</v>
      </c>
      <c r="D62">
        <v>271</v>
      </c>
      <c r="E62">
        <v>500</v>
      </c>
      <c r="F62">
        <v>758</v>
      </c>
      <c r="G62">
        <v>386</v>
      </c>
      <c r="H62">
        <v>518</v>
      </c>
      <c r="I62">
        <v>92</v>
      </c>
      <c r="J62">
        <v>777</v>
      </c>
      <c r="K62">
        <v>448</v>
      </c>
      <c r="L62">
        <v>409</v>
      </c>
      <c r="M62">
        <v>386</v>
      </c>
      <c r="N62">
        <v>4777780</v>
      </c>
      <c r="O62">
        <v>4777768</v>
      </c>
      <c r="P62">
        <v>4777780</v>
      </c>
      <c r="Q62">
        <v>4777780</v>
      </c>
      <c r="R62">
        <v>4777780</v>
      </c>
      <c r="S62">
        <v>4777768</v>
      </c>
      <c r="T62">
        <v>4777768</v>
      </c>
      <c r="U62">
        <v>4777768</v>
      </c>
      <c r="V62">
        <v>4777780</v>
      </c>
      <c r="W62">
        <v>4777768</v>
      </c>
      <c r="X62">
        <v>4777780</v>
      </c>
      <c r="Y62">
        <v>4777780</v>
      </c>
    </row>
    <row r="63" spans="2:25" x14ac:dyDescent="0.25">
      <c r="B63">
        <v>480</v>
      </c>
      <c r="C63">
        <v>144</v>
      </c>
      <c r="D63">
        <v>270</v>
      </c>
      <c r="E63">
        <v>501</v>
      </c>
      <c r="F63">
        <v>751</v>
      </c>
      <c r="G63">
        <v>387</v>
      </c>
      <c r="H63">
        <v>517</v>
      </c>
      <c r="I63">
        <v>92</v>
      </c>
      <c r="J63">
        <v>771</v>
      </c>
      <c r="K63">
        <v>450</v>
      </c>
      <c r="L63">
        <v>408</v>
      </c>
      <c r="M63">
        <v>383</v>
      </c>
      <c r="N63">
        <v>4777780</v>
      </c>
      <c r="O63">
        <v>4777768</v>
      </c>
      <c r="P63">
        <v>4777780</v>
      </c>
      <c r="Q63">
        <v>4777780</v>
      </c>
      <c r="R63">
        <v>4777780</v>
      </c>
      <c r="S63">
        <v>4777768</v>
      </c>
      <c r="T63">
        <v>4777768</v>
      </c>
      <c r="U63">
        <v>4777768</v>
      </c>
      <c r="V63">
        <v>4777780</v>
      </c>
      <c r="W63">
        <v>4777768</v>
      </c>
      <c r="X63">
        <v>4777780</v>
      </c>
      <c r="Y63">
        <v>4777780</v>
      </c>
    </row>
    <row r="64" spans="2:25" x14ac:dyDescent="0.25">
      <c r="B64">
        <v>478</v>
      </c>
      <c r="C64">
        <v>150</v>
      </c>
      <c r="D64">
        <v>269</v>
      </c>
      <c r="E64">
        <v>502</v>
      </c>
      <c r="F64">
        <v>756</v>
      </c>
      <c r="G64">
        <v>386</v>
      </c>
      <c r="H64">
        <v>519</v>
      </c>
      <c r="I64">
        <v>91</v>
      </c>
      <c r="J64">
        <v>772</v>
      </c>
      <c r="K64">
        <v>449</v>
      </c>
      <c r="L64">
        <v>409</v>
      </c>
      <c r="M64">
        <v>386</v>
      </c>
      <c r="N64">
        <v>4777780</v>
      </c>
      <c r="O64">
        <v>4777768</v>
      </c>
      <c r="P64">
        <v>4777780</v>
      </c>
      <c r="Q64">
        <v>4777780</v>
      </c>
      <c r="R64">
        <v>4777780</v>
      </c>
      <c r="S64">
        <v>4777768</v>
      </c>
      <c r="T64">
        <v>4777768</v>
      </c>
      <c r="U64">
        <v>4777768</v>
      </c>
      <c r="V64">
        <v>4777780</v>
      </c>
      <c r="W64">
        <v>4777768</v>
      </c>
      <c r="X64">
        <v>4777780</v>
      </c>
      <c r="Y64">
        <v>4777780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1017</v>
      </c>
      <c r="C68">
        <v>306</v>
      </c>
      <c r="D68">
        <v>681</v>
      </c>
      <c r="E68">
        <v>933</v>
      </c>
      <c r="F68">
        <v>1097</v>
      </c>
      <c r="G68">
        <v>501</v>
      </c>
      <c r="H68">
        <v>1043</v>
      </c>
      <c r="I68">
        <v>191</v>
      </c>
      <c r="J68">
        <v>1510</v>
      </c>
      <c r="K68">
        <v>1420</v>
      </c>
      <c r="L68">
        <v>693</v>
      </c>
      <c r="M68">
        <v>679</v>
      </c>
    </row>
    <row r="69" spans="2:13" x14ac:dyDescent="0.25">
      <c r="B69">
        <v>1015</v>
      </c>
      <c r="C69">
        <v>305</v>
      </c>
      <c r="D69">
        <v>673</v>
      </c>
      <c r="E69">
        <v>921</v>
      </c>
      <c r="F69">
        <v>1101</v>
      </c>
      <c r="G69">
        <v>505</v>
      </c>
      <c r="H69">
        <v>1034</v>
      </c>
      <c r="I69">
        <v>193</v>
      </c>
      <c r="J69">
        <v>1493</v>
      </c>
      <c r="K69">
        <v>1405</v>
      </c>
      <c r="L69">
        <v>696</v>
      </c>
      <c r="M69">
        <v>669</v>
      </c>
    </row>
    <row r="70" spans="2:13" x14ac:dyDescent="0.25">
      <c r="B70">
        <v>1022</v>
      </c>
      <c r="C70">
        <v>309</v>
      </c>
      <c r="D70">
        <v>689</v>
      </c>
      <c r="E70">
        <v>1232</v>
      </c>
      <c r="F70">
        <v>1105</v>
      </c>
      <c r="G70">
        <v>506</v>
      </c>
      <c r="H70">
        <v>1054</v>
      </c>
      <c r="I70">
        <v>193</v>
      </c>
      <c r="J70">
        <v>1511</v>
      </c>
      <c r="K70">
        <v>1407</v>
      </c>
      <c r="L70">
        <v>699</v>
      </c>
      <c r="M70">
        <v>682</v>
      </c>
    </row>
    <row r="71" spans="2:13" x14ac:dyDescent="0.25">
      <c r="B71">
        <v>1019</v>
      </c>
      <c r="C71">
        <v>307</v>
      </c>
      <c r="D71">
        <v>679</v>
      </c>
      <c r="E71">
        <v>926</v>
      </c>
      <c r="F71">
        <v>1104</v>
      </c>
      <c r="G71">
        <v>502</v>
      </c>
      <c r="H71">
        <v>1039</v>
      </c>
      <c r="I71">
        <v>194</v>
      </c>
      <c r="J71">
        <v>1503</v>
      </c>
      <c r="K71">
        <v>1416</v>
      </c>
      <c r="L71">
        <v>696</v>
      </c>
      <c r="M71">
        <v>696</v>
      </c>
    </row>
    <row r="72" spans="2:13" x14ac:dyDescent="0.25">
      <c r="B72">
        <v>1017</v>
      </c>
      <c r="C72">
        <v>305</v>
      </c>
      <c r="D72">
        <v>680</v>
      </c>
      <c r="E72">
        <v>928</v>
      </c>
      <c r="F72">
        <v>1101</v>
      </c>
      <c r="G72">
        <v>506</v>
      </c>
      <c r="H72">
        <v>1053</v>
      </c>
      <c r="I72">
        <v>194</v>
      </c>
      <c r="J72">
        <v>1553</v>
      </c>
      <c r="K72">
        <v>1434</v>
      </c>
      <c r="L72">
        <v>699</v>
      </c>
      <c r="M72">
        <v>697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2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37</v>
      </c>
    </row>
    <row r="37" spans="2:17" x14ac:dyDescent="0.25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AVERAGE(Table22[Newtonsoft])</f>
        <v>476.6</v>
      </c>
      <c r="D38" s="2">
        <f>AVERAGE(Table22[Revenj])</f>
        <v>478.8</v>
      </c>
      <c r="E38" s="2">
        <f>AVERAGE(Table22[fastJSON])</f>
        <v>475.2</v>
      </c>
      <c r="F38" s="2">
        <f>AVERAGE(Table22[Service Stack])</f>
        <v>493.2</v>
      </c>
      <c r="G38" s="2">
        <f>AVERAGE(Table22[Jil])</f>
        <v>492.6</v>
      </c>
      <c r="H38" s="2">
        <f>AVERAGE(Table22[NetJSON])</f>
        <v>474.4</v>
      </c>
      <c r="I38" s="2">
        <f>AVERAGE(Table22[Jackson])</f>
        <v>114.4</v>
      </c>
      <c r="J38" s="2">
        <f>AVERAGE(Table22[DSL Platform Java])</f>
        <v>114</v>
      </c>
      <c r="K38" s="2">
        <f>AVERAGE(Table22[Genson])</f>
        <v>112</v>
      </c>
      <c r="L38" s="2">
        <f>AVERAGE(Table22[Boon])</f>
        <v>118.4</v>
      </c>
      <c r="M38" s="2">
        <f>AVERAGE(Table22[Alibaba])</f>
        <v>119</v>
      </c>
      <c r="N38" s="2">
        <f>AVERAGE(Table22[Gson])</f>
        <v>117</v>
      </c>
      <c r="O38" s="2"/>
      <c r="P38" s="2"/>
      <c r="Q38" s="2"/>
    </row>
    <row r="39" spans="2:17" x14ac:dyDescent="0.25">
      <c r="B39" t="s">
        <v>0</v>
      </c>
      <c r="C39" s="2">
        <f>AVERAGE(Table21[Newtonsoft]) - C38</f>
        <v>1970.4</v>
      </c>
      <c r="D39" s="2">
        <f>AVERAGE(Table21[Revenj]) - D38</f>
        <v>609.20000000000005</v>
      </c>
      <c r="E39" s="2">
        <f>AVERAGE(Table21[fastJSON]) - E38</f>
        <v>1628.2</v>
      </c>
      <c r="F39" s="2">
        <f>AVERAGE(Table21[Service Stack]) - F38</f>
        <v>2972.6000000000004</v>
      </c>
      <c r="G39" s="2">
        <f>AVERAGE(Table21[Jil]) - G38</f>
        <v>1895.8000000000002</v>
      </c>
      <c r="H39" s="2">
        <f>AVERAGE(Table21[NetJSON]) - H38</f>
        <v>1010.4</v>
      </c>
      <c r="I39" s="2">
        <f>AVERAGE(Table21[Jackson]) - I38</f>
        <v>889</v>
      </c>
      <c r="J39" s="2">
        <f>AVERAGE(Table21[DSL Platform Java]) - J38</f>
        <v>149.19999999999999</v>
      </c>
      <c r="K39" s="2">
        <f>AVERAGE(Table21[Genson]) - K38</f>
        <v>3943.4</v>
      </c>
      <c r="L39" s="2">
        <f>AVERAGE(Table21[Boon]) - L38</f>
        <v>1037</v>
      </c>
      <c r="M39" s="2">
        <f>AVERAGE(Table21[Alibaba]) - M38</f>
        <v>730</v>
      </c>
      <c r="N39" s="2">
        <f>AVERAGE(Table21[Gson]) - N38</f>
        <v>1329.8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4373.1999999999989</v>
      </c>
      <c r="D40" s="2">
        <f t="shared" si="0"/>
        <v>1327</v>
      </c>
      <c r="E40" s="2">
        <f t="shared" ref="E40" si="1">E41 - E39 - E38</f>
        <v>3695.6000000000004</v>
      </c>
      <c r="F40" s="2">
        <f t="shared" si="0"/>
        <v>3843</v>
      </c>
      <c r="G40" s="2">
        <f t="shared" si="0"/>
        <v>1631</v>
      </c>
      <c r="H40" s="2">
        <f t="shared" si="0"/>
        <v>1236.7999999999997</v>
      </c>
      <c r="I40" s="2">
        <f t="shared" ref="I40" si="2">I41 - I39 - I38</f>
        <v>1199.4000000000001</v>
      </c>
      <c r="J40" s="2">
        <f t="shared" ref="J40" si="3">J41 - J39 - J38</f>
        <v>280.2</v>
      </c>
      <c r="K40" s="2">
        <f t="shared" ref="K40:L40" si="4">K41 - K39 - K38</f>
        <v>4076</v>
      </c>
      <c r="L40" s="2">
        <f t="shared" si="4"/>
        <v>6207.2000000000007</v>
      </c>
      <c r="M40" s="2">
        <f t="shared" ref="M40" si="5">M41 - M39 - M38</f>
        <v>1163.5999999999999</v>
      </c>
      <c r="N40" s="2">
        <f t="shared" ref="N40" si="6">N41 - N39 - N38</f>
        <v>1876.8</v>
      </c>
      <c r="O40" s="2"/>
      <c r="P40" s="2"/>
      <c r="Q40" s="2"/>
    </row>
    <row r="41" spans="2:17" x14ac:dyDescent="0.25">
      <c r="B41" t="s">
        <v>25</v>
      </c>
      <c r="C41" s="2">
        <f>AVERAGE(Table23[Newtonsoft])</f>
        <v>6820.2</v>
      </c>
      <c r="D41" s="2">
        <f>AVERAGE(Table23[Revenj])</f>
        <v>2415</v>
      </c>
      <c r="E41" s="2">
        <f>AVERAGE(Table23[fastJSON])</f>
        <v>5799</v>
      </c>
      <c r="F41" s="2">
        <f>AVERAGE(Table23[Service Stack])</f>
        <v>7308.8</v>
      </c>
      <c r="G41" s="2">
        <f>AVERAGE(Table23[Jil])</f>
        <v>4019.4</v>
      </c>
      <c r="H41" s="2">
        <f>AVERAGE(Table23[NetJSON])</f>
        <v>2721.6</v>
      </c>
      <c r="I41" s="2">
        <f>AVERAGE(Table23[Jackson])</f>
        <v>2202.8000000000002</v>
      </c>
      <c r="J41" s="2">
        <f>AVERAGE(Table23[DSL Platform Java])</f>
        <v>543.4</v>
      </c>
      <c r="K41" s="2">
        <f>AVERAGE(Table23[Genson])</f>
        <v>8131.4</v>
      </c>
      <c r="L41" s="2">
        <f>AVERAGE(Table23[Boon])</f>
        <v>7362.6</v>
      </c>
      <c r="M41" s="2">
        <f>AVERAGE(Table23[Alibaba])</f>
        <v>2012.6</v>
      </c>
      <c r="N41" s="2">
        <f>AVERAGE(Table23[Gson])</f>
        <v>3323.6</v>
      </c>
      <c r="O41" s="2"/>
      <c r="P41" s="2"/>
      <c r="Q41" s="2"/>
    </row>
    <row r="42" spans="2:17" x14ac:dyDescent="0.25">
      <c r="B42" t="s">
        <v>4</v>
      </c>
      <c r="C42" s="3">
        <f>AVERAGE(Table21[Newtonsoft (size)])</f>
        <v>49777780</v>
      </c>
      <c r="D42" s="3">
        <f>AVERAGE(Table21[Revenj (size)])</f>
        <v>49777768</v>
      </c>
      <c r="E42" s="3">
        <f>AVERAGE(Table21[fastJSON (size)])</f>
        <v>49777780</v>
      </c>
      <c r="F42" s="3">
        <f>AVERAGE(Table21[Service Stack (size)])</f>
        <v>49777780</v>
      </c>
      <c r="G42" s="2">
        <f>AVERAGE(Table21[Jil (size)])</f>
        <v>49777780</v>
      </c>
      <c r="H42" s="2">
        <f>AVERAGE(Table21[NetJSON (size)])</f>
        <v>49777768</v>
      </c>
      <c r="I42" s="2">
        <f>AVERAGE(Table21[Jackson (size)])</f>
        <v>49777768</v>
      </c>
      <c r="J42" s="2">
        <f>AVERAGE(Table21[DSL Platform Java (size)])</f>
        <v>49777768</v>
      </c>
      <c r="K42" s="2">
        <f>AVERAGE(Table21[Genson (size)])</f>
        <v>49777780</v>
      </c>
      <c r="L42" s="2">
        <f>AVERAGE(Table21[Boon (size)])</f>
        <v>49777768</v>
      </c>
      <c r="M42" s="2">
        <f>AVERAGE(Table21[Alibaba (size)])</f>
        <v>49777780</v>
      </c>
      <c r="N42" s="2">
        <f>AVERAGE(Table21[Gson (size)])</f>
        <v>49777780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DEVSQ(Table21[Newtonsoft])</f>
        <v>1730</v>
      </c>
      <c r="D47" s="2">
        <f>DEVSQ(Table21[Revenj])</f>
        <v>1538</v>
      </c>
      <c r="E47" s="2">
        <f>DEVSQ(Table21[fastJSON])</f>
        <v>12939.2</v>
      </c>
      <c r="F47" s="2">
        <f>DEVSQ(Table21[Service Stack])</f>
        <v>2522.8000000000002</v>
      </c>
      <c r="G47" s="2">
        <f>DEVSQ(Table21[Jil])</f>
        <v>3369.2</v>
      </c>
      <c r="H47" s="2">
        <f>DEVSQ(Table21[NetJSON])</f>
        <v>1034.8</v>
      </c>
      <c r="I47" s="2">
        <f>DEVSQ(Table21[Jackson])</f>
        <v>9135.2000000000007</v>
      </c>
      <c r="J47" s="2">
        <f>DEVSQ(Table21[DSL Platform Java])</f>
        <v>4.8000000000000007</v>
      </c>
      <c r="K47" s="2">
        <f>DEVSQ(Table21[Genson])</f>
        <v>36785.199999999997</v>
      </c>
      <c r="L47" s="2">
        <f>DEVSQ(Table21[Boon])</f>
        <v>4933.2</v>
      </c>
      <c r="M47" s="2">
        <f>DEVSQ(Table21[Alibaba])</f>
        <v>90</v>
      </c>
      <c r="N47" s="2">
        <f>DEVSQ(Table21[Gson])</f>
        <v>3274.7999999999997</v>
      </c>
      <c r="O47" s="2"/>
      <c r="P47" s="2"/>
      <c r="Q47" s="2"/>
    </row>
    <row r="48" spans="2:17" x14ac:dyDescent="0.25">
      <c r="B48" t="s">
        <v>25</v>
      </c>
      <c r="C48" s="2">
        <f>DEVSQ(Table23[Newtonsoft])</f>
        <v>740.80000000000007</v>
      </c>
      <c r="D48" s="2">
        <f>DEVSQ(Table23[Revenj])</f>
        <v>342</v>
      </c>
      <c r="E48" s="2">
        <f>DEVSQ(Table23[fastJSON])</f>
        <v>13000</v>
      </c>
      <c r="F48" s="2">
        <f>DEVSQ(Table23[Service Stack])</f>
        <v>23652.799999999999</v>
      </c>
      <c r="G48" s="2">
        <f>DEVSQ(Table23[Jil])</f>
        <v>10525.2</v>
      </c>
      <c r="H48" s="2">
        <f>DEVSQ(Table23[NetJSON])</f>
        <v>7125.1999999999989</v>
      </c>
      <c r="I48" s="2">
        <f>DEVSQ(Table23[Jackson])</f>
        <v>35074.799999999996</v>
      </c>
      <c r="J48" s="2">
        <f>DEVSQ(Table23[DSL Platform Java])</f>
        <v>157.19999999999999</v>
      </c>
      <c r="K48" s="2">
        <f>DEVSQ(Table23[Genson])</f>
        <v>434377.2</v>
      </c>
      <c r="L48" s="2">
        <f>DEVSQ(Table23[Boon])</f>
        <v>7825.2000000000007</v>
      </c>
      <c r="M48" s="2">
        <f>DEVSQ(Table23[Alibaba])</f>
        <v>1711.2</v>
      </c>
      <c r="N48" s="2">
        <f>DEVSQ(Table23[Gson])</f>
        <v>26265.200000000001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483</v>
      </c>
      <c r="C52">
        <v>477</v>
      </c>
      <c r="D52">
        <v>474</v>
      </c>
      <c r="E52">
        <v>494</v>
      </c>
      <c r="F52">
        <v>500</v>
      </c>
      <c r="G52">
        <v>470</v>
      </c>
      <c r="H52">
        <v>113</v>
      </c>
      <c r="I52">
        <v>114</v>
      </c>
      <c r="J52">
        <v>112</v>
      </c>
      <c r="K52">
        <v>118</v>
      </c>
      <c r="L52">
        <v>119</v>
      </c>
      <c r="M52">
        <v>117</v>
      </c>
    </row>
    <row r="53" spans="2:25" x14ac:dyDescent="0.25">
      <c r="B53">
        <v>470</v>
      </c>
      <c r="C53">
        <v>480</v>
      </c>
      <c r="D53">
        <v>475</v>
      </c>
      <c r="E53">
        <v>487</v>
      </c>
      <c r="F53">
        <v>491</v>
      </c>
      <c r="G53">
        <v>478</v>
      </c>
      <c r="H53">
        <v>113</v>
      </c>
      <c r="I53">
        <v>114</v>
      </c>
      <c r="J53">
        <v>112</v>
      </c>
      <c r="K53">
        <v>119</v>
      </c>
      <c r="L53">
        <v>119</v>
      </c>
      <c r="M53">
        <v>117</v>
      </c>
    </row>
    <row r="54" spans="2:25" x14ac:dyDescent="0.25">
      <c r="B54">
        <v>473</v>
      </c>
      <c r="C54">
        <v>475</v>
      </c>
      <c r="D54">
        <v>480</v>
      </c>
      <c r="E54">
        <v>497</v>
      </c>
      <c r="F54">
        <v>492</v>
      </c>
      <c r="G54">
        <v>477</v>
      </c>
      <c r="H54">
        <v>112</v>
      </c>
      <c r="I54">
        <v>114</v>
      </c>
      <c r="J54">
        <v>112</v>
      </c>
      <c r="K54">
        <v>119</v>
      </c>
      <c r="L54">
        <v>119</v>
      </c>
      <c r="M54">
        <v>117</v>
      </c>
    </row>
    <row r="55" spans="2:25" x14ac:dyDescent="0.25">
      <c r="B55">
        <v>479</v>
      </c>
      <c r="C55">
        <v>479</v>
      </c>
      <c r="D55">
        <v>472</v>
      </c>
      <c r="E55">
        <v>495</v>
      </c>
      <c r="F55">
        <v>490</v>
      </c>
      <c r="G55">
        <v>475</v>
      </c>
      <c r="H55">
        <v>117</v>
      </c>
      <c r="I55">
        <v>114</v>
      </c>
      <c r="J55">
        <v>112</v>
      </c>
      <c r="K55">
        <v>118</v>
      </c>
      <c r="L55">
        <v>119</v>
      </c>
      <c r="M55">
        <v>117</v>
      </c>
    </row>
    <row r="56" spans="2:25" x14ac:dyDescent="0.25">
      <c r="B56">
        <v>478</v>
      </c>
      <c r="C56">
        <v>483</v>
      </c>
      <c r="D56">
        <v>475</v>
      </c>
      <c r="E56">
        <v>493</v>
      </c>
      <c r="F56">
        <v>490</v>
      </c>
      <c r="G56">
        <v>472</v>
      </c>
      <c r="H56">
        <v>117</v>
      </c>
      <c r="I56">
        <v>114</v>
      </c>
      <c r="J56">
        <v>112</v>
      </c>
      <c r="K56">
        <v>118</v>
      </c>
      <c r="L56">
        <v>119</v>
      </c>
      <c r="M56">
        <v>117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2430</v>
      </c>
      <c r="C60">
        <v>1116</v>
      </c>
      <c r="D60">
        <v>2083</v>
      </c>
      <c r="E60">
        <v>3486</v>
      </c>
      <c r="F60">
        <v>2374</v>
      </c>
      <c r="G60">
        <v>1498</v>
      </c>
      <c r="H60">
        <v>968</v>
      </c>
      <c r="I60">
        <v>263</v>
      </c>
      <c r="J60">
        <v>4099</v>
      </c>
      <c r="K60">
        <v>1121</v>
      </c>
      <c r="L60">
        <v>843</v>
      </c>
      <c r="M60">
        <v>1419</v>
      </c>
      <c r="N60">
        <v>49777780</v>
      </c>
      <c r="O60">
        <v>49777768</v>
      </c>
      <c r="P60">
        <v>49777780</v>
      </c>
      <c r="Q60">
        <v>49777780</v>
      </c>
      <c r="R60">
        <v>49777780</v>
      </c>
      <c r="S60">
        <v>49777768</v>
      </c>
      <c r="T60">
        <v>49777768</v>
      </c>
      <c r="U60">
        <v>49777768</v>
      </c>
      <c r="V60">
        <v>49777780</v>
      </c>
      <c r="W60">
        <v>49777768</v>
      </c>
      <c r="X60">
        <v>49777780</v>
      </c>
      <c r="Y60">
        <v>49777780</v>
      </c>
    </row>
    <row r="61" spans="2:25" x14ac:dyDescent="0.25">
      <c r="B61">
        <v>2441</v>
      </c>
      <c r="C61">
        <v>1101</v>
      </c>
      <c r="D61">
        <v>2056</v>
      </c>
      <c r="E61">
        <v>3466</v>
      </c>
      <c r="F61">
        <v>2344</v>
      </c>
      <c r="G61">
        <v>1470</v>
      </c>
      <c r="H61">
        <v>968</v>
      </c>
      <c r="I61">
        <v>262</v>
      </c>
      <c r="J61">
        <v>3994</v>
      </c>
      <c r="K61">
        <v>1130</v>
      </c>
      <c r="L61">
        <v>854</v>
      </c>
      <c r="M61">
        <v>1424</v>
      </c>
      <c r="N61">
        <v>49777780</v>
      </c>
      <c r="O61">
        <v>49777768</v>
      </c>
      <c r="P61">
        <v>49777780</v>
      </c>
      <c r="Q61">
        <v>49777780</v>
      </c>
      <c r="R61">
        <v>49777780</v>
      </c>
      <c r="S61">
        <v>49777768</v>
      </c>
      <c r="T61">
        <v>49777768</v>
      </c>
      <c r="U61">
        <v>49777768</v>
      </c>
      <c r="V61">
        <v>49777780</v>
      </c>
      <c r="W61">
        <v>49777768</v>
      </c>
      <c r="X61">
        <v>49777780</v>
      </c>
      <c r="Y61">
        <v>49777780</v>
      </c>
    </row>
    <row r="62" spans="2:25" x14ac:dyDescent="0.25">
      <c r="B62">
        <v>2444</v>
      </c>
      <c r="C62">
        <v>1078</v>
      </c>
      <c r="D62">
        <v>2068</v>
      </c>
      <c r="E62">
        <v>3495</v>
      </c>
      <c r="F62">
        <v>2405</v>
      </c>
      <c r="G62">
        <v>1470</v>
      </c>
      <c r="H62">
        <v>1040</v>
      </c>
      <c r="I62">
        <v>265</v>
      </c>
      <c r="J62">
        <v>4059</v>
      </c>
      <c r="K62">
        <v>1156</v>
      </c>
      <c r="L62">
        <v>845</v>
      </c>
      <c r="M62">
        <v>1448</v>
      </c>
      <c r="N62">
        <v>49777780</v>
      </c>
      <c r="O62">
        <v>49777768</v>
      </c>
      <c r="P62">
        <v>49777780</v>
      </c>
      <c r="Q62">
        <v>49777780</v>
      </c>
      <c r="R62">
        <v>49777780</v>
      </c>
      <c r="S62">
        <v>49777768</v>
      </c>
      <c r="T62">
        <v>49777768</v>
      </c>
      <c r="U62">
        <v>49777768</v>
      </c>
      <c r="V62">
        <v>49777780</v>
      </c>
      <c r="W62">
        <v>49777768</v>
      </c>
      <c r="X62">
        <v>49777780</v>
      </c>
      <c r="Y62">
        <v>49777780</v>
      </c>
    </row>
    <row r="63" spans="2:25" x14ac:dyDescent="0.25">
      <c r="B63">
        <v>2483</v>
      </c>
      <c r="C63">
        <v>1074</v>
      </c>
      <c r="D63">
        <v>2198</v>
      </c>
      <c r="E63">
        <v>3437</v>
      </c>
      <c r="F63">
        <v>2413</v>
      </c>
      <c r="G63">
        <v>1505</v>
      </c>
      <c r="H63">
        <v>972</v>
      </c>
      <c r="I63">
        <v>263</v>
      </c>
      <c r="J63">
        <v>3938</v>
      </c>
      <c r="K63">
        <v>1159</v>
      </c>
      <c r="L63">
        <v>852</v>
      </c>
      <c r="M63">
        <v>1452</v>
      </c>
      <c r="N63">
        <v>49777780</v>
      </c>
      <c r="O63">
        <v>49777768</v>
      </c>
      <c r="P63">
        <v>49777780</v>
      </c>
      <c r="Q63">
        <v>49777780</v>
      </c>
      <c r="R63">
        <v>49777780</v>
      </c>
      <c r="S63">
        <v>49777768</v>
      </c>
      <c r="T63">
        <v>49777768</v>
      </c>
      <c r="U63">
        <v>49777768</v>
      </c>
      <c r="V63">
        <v>49777780</v>
      </c>
      <c r="W63">
        <v>49777768</v>
      </c>
      <c r="X63">
        <v>49777780</v>
      </c>
      <c r="Y63">
        <v>49777780</v>
      </c>
    </row>
    <row r="64" spans="2:25" x14ac:dyDescent="0.25">
      <c r="B64">
        <v>2437</v>
      </c>
      <c r="C64">
        <v>1071</v>
      </c>
      <c r="D64">
        <v>2112</v>
      </c>
      <c r="E64">
        <v>3445</v>
      </c>
      <c r="F64">
        <v>2406</v>
      </c>
      <c r="G64">
        <v>1481</v>
      </c>
      <c r="H64">
        <v>1069</v>
      </c>
      <c r="I64">
        <v>263</v>
      </c>
      <c r="J64">
        <v>4187</v>
      </c>
      <c r="K64">
        <v>1211</v>
      </c>
      <c r="L64">
        <v>851</v>
      </c>
      <c r="M64">
        <v>1491</v>
      </c>
      <c r="N64">
        <v>49777780</v>
      </c>
      <c r="O64">
        <v>49777768</v>
      </c>
      <c r="P64">
        <v>49777780</v>
      </c>
      <c r="Q64">
        <v>49777780</v>
      </c>
      <c r="R64">
        <v>49777780</v>
      </c>
      <c r="S64">
        <v>49777768</v>
      </c>
      <c r="T64">
        <v>49777768</v>
      </c>
      <c r="U64">
        <v>49777768</v>
      </c>
      <c r="V64">
        <v>49777780</v>
      </c>
      <c r="W64">
        <v>49777768</v>
      </c>
      <c r="X64">
        <v>49777780</v>
      </c>
      <c r="Y64">
        <v>49777780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6835</v>
      </c>
      <c r="C68">
        <v>2419</v>
      </c>
      <c r="D68">
        <v>5713</v>
      </c>
      <c r="E68">
        <v>7215</v>
      </c>
      <c r="F68">
        <v>4050</v>
      </c>
      <c r="G68">
        <v>2738</v>
      </c>
      <c r="H68">
        <v>2132</v>
      </c>
      <c r="I68">
        <v>546</v>
      </c>
      <c r="J68">
        <v>8299</v>
      </c>
      <c r="K68">
        <v>7359</v>
      </c>
      <c r="L68">
        <v>1991</v>
      </c>
      <c r="M68">
        <v>3308</v>
      </c>
    </row>
    <row r="69" spans="2:13" x14ac:dyDescent="0.25">
      <c r="B69">
        <v>6803</v>
      </c>
      <c r="C69">
        <v>2428</v>
      </c>
      <c r="D69">
        <v>5802</v>
      </c>
      <c r="E69">
        <v>7237</v>
      </c>
      <c r="F69">
        <v>4041</v>
      </c>
      <c r="G69">
        <v>2788</v>
      </c>
      <c r="H69">
        <v>2356</v>
      </c>
      <c r="I69">
        <v>535</v>
      </c>
      <c r="J69">
        <v>8078</v>
      </c>
      <c r="K69">
        <v>7390</v>
      </c>
      <c r="L69">
        <v>2046</v>
      </c>
      <c r="M69">
        <v>3323</v>
      </c>
    </row>
    <row r="70" spans="2:13" x14ac:dyDescent="0.25">
      <c r="B70">
        <v>6813</v>
      </c>
      <c r="C70">
        <v>2404</v>
      </c>
      <c r="D70">
        <v>5854</v>
      </c>
      <c r="E70">
        <v>7361</v>
      </c>
      <c r="F70">
        <v>3965</v>
      </c>
      <c r="G70">
        <v>2703</v>
      </c>
      <c r="H70">
        <v>2128</v>
      </c>
      <c r="I70">
        <v>541</v>
      </c>
      <c r="J70">
        <v>7825</v>
      </c>
      <c r="K70">
        <v>7359</v>
      </c>
      <c r="L70">
        <v>2006</v>
      </c>
      <c r="M70">
        <v>3236</v>
      </c>
    </row>
    <row r="71" spans="2:13" x14ac:dyDescent="0.25">
      <c r="B71">
        <v>6817</v>
      </c>
      <c r="C71">
        <v>2409</v>
      </c>
      <c r="D71">
        <v>5846</v>
      </c>
      <c r="E71">
        <v>7382</v>
      </c>
      <c r="F71">
        <v>4076</v>
      </c>
      <c r="G71">
        <v>2694</v>
      </c>
      <c r="H71">
        <v>2221</v>
      </c>
      <c r="I71">
        <v>543</v>
      </c>
      <c r="J71">
        <v>7846</v>
      </c>
      <c r="K71">
        <v>7294</v>
      </c>
      <c r="L71">
        <v>2004</v>
      </c>
      <c r="M71">
        <v>3456</v>
      </c>
    </row>
    <row r="72" spans="2:13" x14ac:dyDescent="0.25">
      <c r="B72">
        <v>6833</v>
      </c>
      <c r="C72">
        <v>2415</v>
      </c>
      <c r="D72">
        <v>5780</v>
      </c>
      <c r="E72">
        <v>7349</v>
      </c>
      <c r="F72">
        <v>3965</v>
      </c>
      <c r="G72">
        <v>2685</v>
      </c>
      <c r="H72">
        <v>2177</v>
      </c>
      <c r="I72">
        <v>552</v>
      </c>
      <c r="J72">
        <v>8609</v>
      </c>
      <c r="K72">
        <v>7411</v>
      </c>
      <c r="L72">
        <v>2016</v>
      </c>
      <c r="M72">
        <v>3295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2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38</v>
      </c>
    </row>
    <row r="37" spans="2:17" x14ac:dyDescent="0.25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AVERAGE(Table27[Newtonsoft])</f>
        <v>4555.6000000000004</v>
      </c>
      <c r="D38" s="2">
        <f>AVERAGE(Table27[Revenj])</f>
        <v>4647.8</v>
      </c>
      <c r="E38" s="2">
        <f>AVERAGE(Table27[fastJSON])</f>
        <v>4562.3999999999996</v>
      </c>
      <c r="F38" s="2">
        <f>AVERAGE(Table27[Service Stack])</f>
        <v>4679.6000000000004</v>
      </c>
      <c r="G38" s="2">
        <f>AVERAGE(Table27[Jil])</f>
        <v>4751.2</v>
      </c>
      <c r="H38" s="2">
        <f>AVERAGE(Table27[NetJSON])</f>
        <v>4595.6000000000004</v>
      </c>
      <c r="I38" s="2">
        <f>AVERAGE(Table27[Jackson])</f>
        <v>653.79999999999995</v>
      </c>
      <c r="J38" s="2">
        <f>AVERAGE(Table27[DSL Platform Java])</f>
        <v>653</v>
      </c>
      <c r="K38" s="2">
        <f>AVERAGE(Table27[Genson])</f>
        <v>657.4</v>
      </c>
      <c r="L38" s="2">
        <f>AVERAGE(Table27[Boon])</f>
        <v>658</v>
      </c>
      <c r="M38" s="2">
        <f>AVERAGE(Table27[Alibaba])</f>
        <v>648.79999999999995</v>
      </c>
      <c r="N38" s="2">
        <f>AVERAGE(Table27[Gson])</f>
        <v>659.2</v>
      </c>
      <c r="O38" s="2"/>
      <c r="P38" s="2"/>
      <c r="Q38" s="2"/>
    </row>
    <row r="39" spans="2:17" x14ac:dyDescent="0.25">
      <c r="B39" t="s">
        <v>0</v>
      </c>
      <c r="C39" s="2">
        <f>AVERAGE(Table26[Newtonsoft]) - C38</f>
        <v>17388.199999999997</v>
      </c>
      <c r="D39" s="2">
        <f>AVERAGE(Table26[Revenj]) - D38</f>
        <v>5980.8</v>
      </c>
      <c r="E39" s="2">
        <f>AVERAGE(Table26[fastJSON]) - E38</f>
        <v>15361.199999999999</v>
      </c>
      <c r="F39" s="2">
        <f>AVERAGE(Table26[Service Stack]) - F38</f>
        <v>28300.400000000001</v>
      </c>
      <c r="G39" s="2">
        <f>AVERAGE(Table26[Jil]) - G38</f>
        <v>14168</v>
      </c>
      <c r="H39" s="2">
        <f>AVERAGE(Table26[NetJSON]) - H38</f>
        <v>8118.6</v>
      </c>
      <c r="I39" s="2">
        <f>AVERAGE(Table26[Jackson]) - I38</f>
        <v>5055</v>
      </c>
      <c r="J39" s="2">
        <f>AVERAGE(Table26[DSL Platform Java]) - J38</f>
        <v>1176.8</v>
      </c>
      <c r="K39" s="2">
        <f>AVERAGE(Table26[Genson]) - K38</f>
        <v>32560.400000000001</v>
      </c>
      <c r="L39" s="2">
        <f>AVERAGE(Table26[Boon]) - L38</f>
        <v>7373.8</v>
      </c>
      <c r="M39" s="2">
        <f>AVERAGE(Table26[Alibaba]) - M38</f>
        <v>4322</v>
      </c>
      <c r="N39" s="2">
        <f>AVERAGE(Table26[Gson]) - N38</f>
        <v>10082.4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43278.400000000001</v>
      </c>
      <c r="D40" s="2">
        <f t="shared" si="0"/>
        <v>12879</v>
      </c>
      <c r="E40" s="2">
        <f t="shared" ref="E40" si="1">E41 - E39 - E38</f>
        <v>36758.6</v>
      </c>
      <c r="F40" s="2">
        <f t="shared" si="0"/>
        <v>37764.399999999994</v>
      </c>
      <c r="G40" s="2">
        <f t="shared" si="0"/>
        <v>14586.2</v>
      </c>
      <c r="H40" s="2">
        <f t="shared" si="0"/>
        <v>11823.599999999997</v>
      </c>
      <c r="I40" s="2">
        <f t="shared" ref="I40" si="2">I41 - I39 - I38</f>
        <v>7526.4000000000005</v>
      </c>
      <c r="J40" s="2">
        <f t="shared" ref="J40" si="3">J41 - J39 - J38</f>
        <v>2234</v>
      </c>
      <c r="K40" s="2">
        <f t="shared" ref="K40:L40" si="4">K41 - K39 - K38</f>
        <v>39020.199999999997</v>
      </c>
      <c r="L40" s="2">
        <f t="shared" si="4"/>
        <v>59073</v>
      </c>
      <c r="M40" s="2">
        <f t="shared" ref="M40" si="5">M41 - M39 - M38</f>
        <v>9315.2000000000007</v>
      </c>
      <c r="N40" s="2">
        <f t="shared" ref="N40" si="6">N41 - N39 - N38</f>
        <v>15711.800000000001</v>
      </c>
      <c r="O40" s="2"/>
      <c r="P40" s="2"/>
      <c r="Q40" s="2"/>
    </row>
    <row r="41" spans="2:17" x14ac:dyDescent="0.25">
      <c r="B41" t="s">
        <v>25</v>
      </c>
      <c r="C41" s="2">
        <f>AVERAGE(Table28[Newtonsoft])</f>
        <v>65222.2</v>
      </c>
      <c r="D41" s="2">
        <f>AVERAGE(Table28[Revenj])</f>
        <v>23507.599999999999</v>
      </c>
      <c r="E41" s="2">
        <f>AVERAGE(Table28[fastJSON])</f>
        <v>56682.2</v>
      </c>
      <c r="F41" s="2">
        <f>AVERAGE(Table28[Service Stack])</f>
        <v>70744.399999999994</v>
      </c>
      <c r="G41" s="2">
        <f>AVERAGE(Table28[Jil])</f>
        <v>33505.4</v>
      </c>
      <c r="H41" s="2">
        <f>AVERAGE(Table28[NetJSON])</f>
        <v>24537.8</v>
      </c>
      <c r="I41" s="2">
        <f>AVERAGE(Table28[Jackson])</f>
        <v>13235.2</v>
      </c>
      <c r="J41" s="2">
        <f>AVERAGE(Table28[DSL Platform Java])</f>
        <v>4063.8</v>
      </c>
      <c r="K41" s="2">
        <f>AVERAGE(Table28[Genson])</f>
        <v>72238</v>
      </c>
      <c r="L41" s="2">
        <f>AVERAGE(Table28[Boon])</f>
        <v>67104.800000000003</v>
      </c>
      <c r="M41" s="2">
        <f>AVERAGE(Table28[Alibaba])</f>
        <v>14286</v>
      </c>
      <c r="N41" s="2">
        <f>AVERAGE(Table28[Gson])</f>
        <v>26453.4</v>
      </c>
      <c r="O41" s="2"/>
      <c r="P41" s="2"/>
      <c r="Q41" s="2"/>
    </row>
    <row r="42" spans="2:17" x14ac:dyDescent="0.25">
      <c r="B42" t="s">
        <v>4</v>
      </c>
      <c r="C42" s="3">
        <f>AVERAGE(Table26[Newtonsoft (size)])</f>
        <v>517777780</v>
      </c>
      <c r="D42" s="3">
        <f>AVERAGE(Table26[Revenj (size)])</f>
        <v>517777768</v>
      </c>
      <c r="E42" s="3">
        <f>AVERAGE(Table26[fastJSON (size)])</f>
        <v>517777780</v>
      </c>
      <c r="F42" s="3">
        <f>AVERAGE(Table26[Service Stack (size)])</f>
        <v>517777780</v>
      </c>
      <c r="G42" s="2">
        <f>AVERAGE(Table26[Jil (size)])</f>
        <v>517777780</v>
      </c>
      <c r="H42" s="2">
        <f>AVERAGE(Table26[NetJSON (size)])</f>
        <v>517777768</v>
      </c>
      <c r="I42" s="2">
        <f>AVERAGE(Table26[Jackson (size)])</f>
        <v>517777768</v>
      </c>
      <c r="J42" s="2">
        <f>AVERAGE(Table26[DSL Platform Java (size)])</f>
        <v>517777768</v>
      </c>
      <c r="K42" s="2">
        <f>AVERAGE(Table26[Genson (size)])</f>
        <v>517777780</v>
      </c>
      <c r="L42" s="2">
        <f>AVERAGE(Table26[Boon (size)])</f>
        <v>517777768</v>
      </c>
      <c r="M42" s="2">
        <f>AVERAGE(Table26[Alibaba (size)])</f>
        <v>517777780</v>
      </c>
      <c r="N42" s="2">
        <f>AVERAGE(Table26[Gson (size)])</f>
        <v>517777780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DEVSQ(Table26[Newtonsoft])</f>
        <v>255500.79999999999</v>
      </c>
      <c r="D47" s="2">
        <f>DEVSQ(Table26[Revenj])</f>
        <v>31553.200000000001</v>
      </c>
      <c r="E47" s="2">
        <f>DEVSQ(Table26[fastJSON])</f>
        <v>27617.199999999997</v>
      </c>
      <c r="F47" s="2">
        <f>DEVSQ(Table26[Service Stack])</f>
        <v>556406</v>
      </c>
      <c r="G47" s="2">
        <f>DEVSQ(Table26[Jil])</f>
        <v>200642.8</v>
      </c>
      <c r="H47" s="2">
        <f>DEVSQ(Table26[NetJSON])</f>
        <v>67402.8</v>
      </c>
      <c r="I47" s="2">
        <f>DEVSQ(Table26[Jackson])</f>
        <v>384134.8</v>
      </c>
      <c r="J47" s="2">
        <f>DEVSQ(Table26[DSL Platform Java])</f>
        <v>596.79999999999995</v>
      </c>
      <c r="K47" s="2">
        <f>DEVSQ(Table26[Genson])</f>
        <v>1926666.8</v>
      </c>
      <c r="L47" s="2">
        <f>DEVSQ(Table26[Boon])</f>
        <v>304814.8</v>
      </c>
      <c r="M47" s="2">
        <f>DEVSQ(Table26[Alibaba])</f>
        <v>20886.8</v>
      </c>
      <c r="N47" s="2">
        <f>DEVSQ(Table26[Gson])</f>
        <v>78669.2</v>
      </c>
      <c r="O47" s="2"/>
      <c r="P47" s="2"/>
      <c r="Q47" s="2"/>
    </row>
    <row r="48" spans="2:17" x14ac:dyDescent="0.25">
      <c r="B48" t="s">
        <v>25</v>
      </c>
      <c r="C48" s="2">
        <f>DEVSQ(Table28[Newtonsoft])</f>
        <v>1118878.8</v>
      </c>
      <c r="D48" s="2">
        <f>DEVSQ(Table28[Revenj])</f>
        <v>91549.200000000012</v>
      </c>
      <c r="E48" s="2">
        <f>DEVSQ(Table28[fastJSON])</f>
        <v>988086.8</v>
      </c>
      <c r="F48" s="2">
        <f>DEVSQ(Table28[Service Stack])</f>
        <v>251849.2</v>
      </c>
      <c r="G48" s="2">
        <f>DEVSQ(Table28[Jil])</f>
        <v>173945.2</v>
      </c>
      <c r="H48" s="2">
        <f>DEVSQ(Table28[NetJSON])</f>
        <v>38484.800000000003</v>
      </c>
      <c r="I48" s="2">
        <f>DEVSQ(Table28[Jackson])</f>
        <v>1407030.8</v>
      </c>
      <c r="J48" s="2">
        <f>DEVSQ(Table28[DSL Platform Java])</f>
        <v>2034.8000000000002</v>
      </c>
      <c r="K48" s="2">
        <f>DEVSQ(Table28[Genson])</f>
        <v>24747826</v>
      </c>
      <c r="L48" s="2">
        <f>DEVSQ(Table28[Boon])</f>
        <v>4826414.8</v>
      </c>
      <c r="M48" s="2">
        <f>DEVSQ(Table28[Alibaba])</f>
        <v>121318</v>
      </c>
      <c r="N48" s="2">
        <f>DEVSQ(Table28[Gson])</f>
        <v>1242829.2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4482</v>
      </c>
      <c r="C52">
        <v>4617</v>
      </c>
      <c r="D52">
        <v>4570</v>
      </c>
      <c r="E52">
        <v>4625</v>
      </c>
      <c r="F52">
        <v>4698</v>
      </c>
      <c r="G52">
        <v>4591</v>
      </c>
      <c r="H52">
        <v>659</v>
      </c>
      <c r="I52">
        <v>668</v>
      </c>
      <c r="J52">
        <v>655</v>
      </c>
      <c r="K52">
        <v>661</v>
      </c>
      <c r="L52">
        <v>648</v>
      </c>
      <c r="M52">
        <v>704</v>
      </c>
    </row>
    <row r="53" spans="2:25" x14ac:dyDescent="0.25">
      <c r="B53">
        <v>4600</v>
      </c>
      <c r="C53">
        <v>4666</v>
      </c>
      <c r="D53">
        <v>4572</v>
      </c>
      <c r="E53">
        <v>4793</v>
      </c>
      <c r="F53">
        <v>4755</v>
      </c>
      <c r="G53">
        <v>4552</v>
      </c>
      <c r="H53">
        <v>652</v>
      </c>
      <c r="I53">
        <v>647</v>
      </c>
      <c r="J53">
        <v>646</v>
      </c>
      <c r="K53">
        <v>652</v>
      </c>
      <c r="L53">
        <v>647</v>
      </c>
      <c r="M53">
        <v>643</v>
      </c>
    </row>
    <row r="54" spans="2:25" x14ac:dyDescent="0.25">
      <c r="B54">
        <v>4600</v>
      </c>
      <c r="C54">
        <v>4651</v>
      </c>
      <c r="D54">
        <v>4603</v>
      </c>
      <c r="E54">
        <v>4607</v>
      </c>
      <c r="F54">
        <v>4789</v>
      </c>
      <c r="G54">
        <v>4656</v>
      </c>
      <c r="H54">
        <v>651</v>
      </c>
      <c r="I54">
        <v>643</v>
      </c>
      <c r="J54">
        <v>649</v>
      </c>
      <c r="K54">
        <v>644</v>
      </c>
      <c r="L54">
        <v>645</v>
      </c>
      <c r="M54">
        <v>648</v>
      </c>
    </row>
    <row r="55" spans="2:25" x14ac:dyDescent="0.25">
      <c r="B55">
        <v>4558</v>
      </c>
      <c r="C55">
        <v>4647</v>
      </c>
      <c r="D55">
        <v>4517</v>
      </c>
      <c r="E55">
        <v>4667</v>
      </c>
      <c r="F55">
        <v>4731</v>
      </c>
      <c r="G55">
        <v>4584</v>
      </c>
      <c r="H55">
        <v>653</v>
      </c>
      <c r="I55">
        <v>658</v>
      </c>
      <c r="J55">
        <v>646</v>
      </c>
      <c r="K55">
        <v>671</v>
      </c>
      <c r="L55">
        <v>648</v>
      </c>
      <c r="M55">
        <v>649</v>
      </c>
    </row>
    <row r="56" spans="2:25" x14ac:dyDescent="0.25">
      <c r="B56">
        <v>4538</v>
      </c>
      <c r="C56">
        <v>4658</v>
      </c>
      <c r="D56">
        <v>4550</v>
      </c>
      <c r="E56">
        <v>4706</v>
      </c>
      <c r="F56">
        <v>4783</v>
      </c>
      <c r="G56">
        <v>4595</v>
      </c>
      <c r="H56">
        <v>654</v>
      </c>
      <c r="I56">
        <v>649</v>
      </c>
      <c r="J56">
        <v>691</v>
      </c>
      <c r="K56">
        <v>662</v>
      </c>
      <c r="L56">
        <v>656</v>
      </c>
      <c r="M56">
        <v>652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21798</v>
      </c>
      <c r="C60">
        <v>10623</v>
      </c>
      <c r="D60">
        <v>20033</v>
      </c>
      <c r="E60">
        <v>33631</v>
      </c>
      <c r="F60">
        <v>18953</v>
      </c>
      <c r="G60">
        <v>12648</v>
      </c>
      <c r="H60">
        <v>5447</v>
      </c>
      <c r="I60">
        <v>1851</v>
      </c>
      <c r="J60">
        <v>32766</v>
      </c>
      <c r="K60">
        <v>7917</v>
      </c>
      <c r="L60">
        <v>5055</v>
      </c>
      <c r="M60">
        <v>10922</v>
      </c>
      <c r="N60">
        <v>517777780</v>
      </c>
      <c r="O60">
        <v>517777768</v>
      </c>
      <c r="P60">
        <v>517777780</v>
      </c>
      <c r="Q60">
        <v>517777780</v>
      </c>
      <c r="R60">
        <v>517777780</v>
      </c>
      <c r="S60">
        <v>517777768</v>
      </c>
      <c r="T60">
        <v>517777768</v>
      </c>
      <c r="U60">
        <v>517777768</v>
      </c>
      <c r="V60">
        <v>517777780</v>
      </c>
      <c r="W60">
        <v>517777768</v>
      </c>
      <c r="X60">
        <v>517777780</v>
      </c>
      <c r="Y60">
        <v>517777780</v>
      </c>
    </row>
    <row r="61" spans="2:25" x14ac:dyDescent="0.25">
      <c r="B61">
        <v>22337</v>
      </c>
      <c r="C61">
        <v>10631</v>
      </c>
      <c r="D61">
        <v>19869</v>
      </c>
      <c r="E61">
        <v>32763</v>
      </c>
      <c r="F61">
        <v>18814</v>
      </c>
      <c r="G61">
        <v>12651</v>
      </c>
      <c r="H61">
        <v>6134</v>
      </c>
      <c r="I61">
        <v>1821</v>
      </c>
      <c r="J61">
        <v>34421</v>
      </c>
      <c r="K61">
        <v>8175</v>
      </c>
      <c r="L61">
        <v>5013</v>
      </c>
      <c r="M61">
        <v>10774</v>
      </c>
      <c r="N61">
        <v>517777780</v>
      </c>
      <c r="O61">
        <v>517777768</v>
      </c>
      <c r="P61">
        <v>517777780</v>
      </c>
      <c r="Q61">
        <v>517777780</v>
      </c>
      <c r="R61">
        <v>517777780</v>
      </c>
      <c r="S61">
        <v>517777768</v>
      </c>
      <c r="T61">
        <v>517777768</v>
      </c>
      <c r="U61">
        <v>517777768</v>
      </c>
      <c r="V61">
        <v>517777780</v>
      </c>
      <c r="W61">
        <v>517777768</v>
      </c>
      <c r="X61">
        <v>517777780</v>
      </c>
      <c r="Y61">
        <v>517777780</v>
      </c>
    </row>
    <row r="62" spans="2:25" x14ac:dyDescent="0.25">
      <c r="B62">
        <v>21686</v>
      </c>
      <c r="C62">
        <v>10569</v>
      </c>
      <c r="D62">
        <v>19972</v>
      </c>
      <c r="E62">
        <v>32714</v>
      </c>
      <c r="F62">
        <v>19280</v>
      </c>
      <c r="G62">
        <v>12819</v>
      </c>
      <c r="H62">
        <v>5568</v>
      </c>
      <c r="I62">
        <v>1825</v>
      </c>
      <c r="J62">
        <v>33085</v>
      </c>
      <c r="K62">
        <v>8000</v>
      </c>
      <c r="L62">
        <v>4884</v>
      </c>
      <c r="M62">
        <v>10603</v>
      </c>
      <c r="N62">
        <v>517777780</v>
      </c>
      <c r="O62">
        <v>517777768</v>
      </c>
      <c r="P62">
        <v>517777780</v>
      </c>
      <c r="Q62">
        <v>517777780</v>
      </c>
      <c r="R62">
        <v>517777780</v>
      </c>
      <c r="S62">
        <v>517777768</v>
      </c>
      <c r="T62">
        <v>517777768</v>
      </c>
      <c r="U62">
        <v>517777768</v>
      </c>
      <c r="V62">
        <v>517777780</v>
      </c>
      <c r="W62">
        <v>517777768</v>
      </c>
      <c r="X62">
        <v>517777780</v>
      </c>
      <c r="Y62">
        <v>517777780</v>
      </c>
    </row>
    <row r="63" spans="2:25" x14ac:dyDescent="0.25">
      <c r="B63">
        <v>22030</v>
      </c>
      <c r="C63">
        <v>10546</v>
      </c>
      <c r="D63">
        <v>19922</v>
      </c>
      <c r="E63">
        <v>32914</v>
      </c>
      <c r="F63">
        <v>18684</v>
      </c>
      <c r="G63">
        <v>12881</v>
      </c>
      <c r="H63">
        <v>5937</v>
      </c>
      <c r="I63">
        <v>1829</v>
      </c>
      <c r="J63">
        <v>33090</v>
      </c>
      <c r="K63">
        <v>8401</v>
      </c>
      <c r="L63">
        <v>4908</v>
      </c>
      <c r="M63">
        <v>10597</v>
      </c>
      <c r="N63">
        <v>517777780</v>
      </c>
      <c r="O63">
        <v>517777768</v>
      </c>
      <c r="P63">
        <v>517777780</v>
      </c>
      <c r="Q63">
        <v>517777780</v>
      </c>
      <c r="R63">
        <v>517777780</v>
      </c>
      <c r="S63">
        <v>517777768</v>
      </c>
      <c r="T63">
        <v>517777768</v>
      </c>
      <c r="U63">
        <v>517777768</v>
      </c>
      <c r="V63">
        <v>517777780</v>
      </c>
      <c r="W63">
        <v>517777768</v>
      </c>
      <c r="X63">
        <v>517777780</v>
      </c>
      <c r="Y63">
        <v>517777780</v>
      </c>
    </row>
    <row r="64" spans="2:25" x14ac:dyDescent="0.25">
      <c r="B64">
        <v>21868</v>
      </c>
      <c r="C64">
        <v>10774</v>
      </c>
      <c r="D64">
        <v>19822</v>
      </c>
      <c r="E64">
        <v>32878</v>
      </c>
      <c r="F64">
        <v>18865</v>
      </c>
      <c r="G64">
        <v>12572</v>
      </c>
      <c r="H64">
        <v>5458</v>
      </c>
      <c r="I64">
        <v>1823</v>
      </c>
      <c r="J64">
        <v>32727</v>
      </c>
      <c r="K64">
        <v>7666</v>
      </c>
      <c r="L64">
        <v>4994</v>
      </c>
      <c r="M64">
        <v>10812</v>
      </c>
      <c r="N64">
        <v>517777780</v>
      </c>
      <c r="O64">
        <v>517777768</v>
      </c>
      <c r="P64">
        <v>517777780</v>
      </c>
      <c r="Q64">
        <v>517777780</v>
      </c>
      <c r="R64">
        <v>517777780</v>
      </c>
      <c r="S64">
        <v>517777768</v>
      </c>
      <c r="T64">
        <v>517777768</v>
      </c>
      <c r="U64">
        <v>517777768</v>
      </c>
      <c r="V64">
        <v>517777780</v>
      </c>
      <c r="W64">
        <v>517777768</v>
      </c>
      <c r="X64">
        <v>517777780</v>
      </c>
      <c r="Y64">
        <v>517777780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64975</v>
      </c>
      <c r="C68">
        <v>23716</v>
      </c>
      <c r="D68">
        <v>56753</v>
      </c>
      <c r="E68">
        <v>71079</v>
      </c>
      <c r="F68">
        <v>33808</v>
      </c>
      <c r="G68">
        <v>24590</v>
      </c>
      <c r="H68">
        <v>13446</v>
      </c>
      <c r="I68">
        <v>4090</v>
      </c>
      <c r="J68">
        <v>71918</v>
      </c>
      <c r="K68">
        <v>65664</v>
      </c>
      <c r="L68">
        <v>14417</v>
      </c>
      <c r="M68">
        <v>25920</v>
      </c>
    </row>
    <row r="69" spans="2:13" x14ac:dyDescent="0.25">
      <c r="B69">
        <v>64865</v>
      </c>
      <c r="C69">
        <v>23507</v>
      </c>
      <c r="D69">
        <v>56274</v>
      </c>
      <c r="E69">
        <v>70526</v>
      </c>
      <c r="F69">
        <v>33616</v>
      </c>
      <c r="G69">
        <v>24398</v>
      </c>
      <c r="H69">
        <v>12604</v>
      </c>
      <c r="I69">
        <v>4071</v>
      </c>
      <c r="J69">
        <v>76127</v>
      </c>
      <c r="K69">
        <v>67644</v>
      </c>
      <c r="L69">
        <v>14104</v>
      </c>
      <c r="M69">
        <v>26695</v>
      </c>
    </row>
    <row r="70" spans="2:13" x14ac:dyDescent="0.25">
      <c r="B70">
        <v>66146</v>
      </c>
      <c r="C70">
        <v>23585</v>
      </c>
      <c r="D70">
        <v>56425</v>
      </c>
      <c r="E70">
        <v>70486</v>
      </c>
      <c r="F70">
        <v>33341</v>
      </c>
      <c r="G70">
        <v>24474</v>
      </c>
      <c r="H70">
        <v>13966</v>
      </c>
      <c r="I70">
        <v>4071</v>
      </c>
      <c r="J70">
        <v>69802</v>
      </c>
      <c r="K70">
        <v>66683</v>
      </c>
      <c r="L70">
        <v>14516</v>
      </c>
      <c r="M70">
        <v>26806</v>
      </c>
    </row>
    <row r="71" spans="2:13" x14ac:dyDescent="0.25">
      <c r="B71">
        <v>65176</v>
      </c>
      <c r="C71">
        <v>23392</v>
      </c>
      <c r="D71">
        <v>56444</v>
      </c>
      <c r="E71">
        <v>70728</v>
      </c>
      <c r="F71">
        <v>33459</v>
      </c>
      <c r="G71">
        <v>24632</v>
      </c>
      <c r="H71">
        <v>13517</v>
      </c>
      <c r="I71">
        <v>4029</v>
      </c>
      <c r="J71">
        <v>72885</v>
      </c>
      <c r="K71">
        <v>66928</v>
      </c>
      <c r="L71">
        <v>14229</v>
      </c>
      <c r="M71">
        <v>25801</v>
      </c>
    </row>
    <row r="72" spans="2:13" x14ac:dyDescent="0.25">
      <c r="B72">
        <v>64949</v>
      </c>
      <c r="C72">
        <v>23338</v>
      </c>
      <c r="D72">
        <v>57515</v>
      </c>
      <c r="E72">
        <v>70903</v>
      </c>
      <c r="F72">
        <v>33303</v>
      </c>
      <c r="G72">
        <v>24595</v>
      </c>
      <c r="H72">
        <v>12643</v>
      </c>
      <c r="I72">
        <v>4058</v>
      </c>
      <c r="J72">
        <v>70458</v>
      </c>
      <c r="K72">
        <v>68605</v>
      </c>
      <c r="L72">
        <v>14164</v>
      </c>
      <c r="M72">
        <v>27045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2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39</v>
      </c>
    </row>
    <row r="37" spans="2:17" x14ac:dyDescent="0.25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AVERAGE(Table32[Newtonsoft])</f>
        <v>68</v>
      </c>
      <c r="D38" s="2">
        <f>AVERAGE(Table32[Revenj])</f>
        <v>69.2</v>
      </c>
      <c r="E38" s="2">
        <f>AVERAGE(Table32[fastJSON])</f>
        <v>71</v>
      </c>
      <c r="F38" s="2">
        <f>AVERAGE(Table32[Service Stack])</f>
        <v>69</v>
      </c>
      <c r="G38" s="2">
        <f>AVERAGE(Table32[Jil])</f>
        <v>69</v>
      </c>
      <c r="H38" s="2">
        <f>AVERAGE(Table32[NetJSON])</f>
        <v>69.599999999999994</v>
      </c>
      <c r="I38" s="2">
        <f>AVERAGE(Table32[Jackson])</f>
        <v>143.4</v>
      </c>
      <c r="J38" s="2">
        <f>AVERAGE(Table32[DSL Platform Java])</f>
        <v>142.4</v>
      </c>
      <c r="K38" s="2">
        <f>AVERAGE(Table32[Genson])</f>
        <v>141.19999999999999</v>
      </c>
      <c r="L38" s="2">
        <f>AVERAGE(Table32[Boon])</f>
        <v>143.4</v>
      </c>
      <c r="M38" s="2">
        <f>AVERAGE(Table32[Alibaba])</f>
        <v>146.6</v>
      </c>
      <c r="N38" s="2">
        <f>AVERAGE(Table32[Gson])</f>
        <v>143.19999999999999</v>
      </c>
      <c r="O38" s="2"/>
      <c r="P38" s="2"/>
      <c r="Q38" s="2"/>
    </row>
    <row r="39" spans="2:17" x14ac:dyDescent="0.25">
      <c r="B39" t="s">
        <v>0</v>
      </c>
      <c r="C39" s="2">
        <f>AVERAGE(Table31[Newtonsoft]) - C38</f>
        <v>331</v>
      </c>
      <c r="D39" s="2">
        <f>AVERAGE(Table31[Revenj]) - D38</f>
        <v>162.80000000000001</v>
      </c>
      <c r="E39" s="2">
        <f>AVERAGE(Table31[fastJSON]) - E38</f>
        <v>276</v>
      </c>
      <c r="F39" s="2">
        <f>AVERAGE(Table31[Service Stack]) - F38</f>
        <v>515.6</v>
      </c>
      <c r="G39" s="2">
        <f>AVERAGE(Table31[Jil]) - G38</f>
        <v>252</v>
      </c>
      <c r="H39" s="2">
        <f>AVERAGE(Table31[NetJSON]) - H38</f>
        <v>185.4</v>
      </c>
      <c r="I39" s="2">
        <f>AVERAGE(Table31[Jackson]) - I38</f>
        <v>243.99999999999997</v>
      </c>
      <c r="J39" s="2">
        <f>AVERAGE(Table31[DSL Platform Java]) - J38</f>
        <v>129.20000000000002</v>
      </c>
      <c r="K39" s="2">
        <f>AVERAGE(Table31[Genson]) - K38</f>
        <v>537.20000000000005</v>
      </c>
      <c r="L39" s="2">
        <f>AVERAGE(Table31[Boon]) - L38</f>
        <v>294.39999999999998</v>
      </c>
      <c r="M39" s="2">
        <f>AVERAGE(Table31[Alibaba]) - M38</f>
        <v>260.79999999999995</v>
      </c>
      <c r="N39" s="2">
        <f>AVERAGE(Table31[Gson]) - N38</f>
        <v>264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652</v>
      </c>
      <c r="D40" s="2">
        <f t="shared" si="0"/>
        <v>151.80000000000001</v>
      </c>
      <c r="E40" s="2">
        <f t="shared" ref="E40" si="1">E41 - E39 - E38</f>
        <v>580.6</v>
      </c>
      <c r="F40" s="2">
        <f t="shared" si="0"/>
        <v>515.4</v>
      </c>
      <c r="G40" s="2">
        <f t="shared" si="0"/>
        <v>222</v>
      </c>
      <c r="H40" s="2">
        <f t="shared" si="0"/>
        <v>166.60000000000002</v>
      </c>
      <c r="I40" s="2">
        <f t="shared" ref="I40" si="2">I41 - I39 - I38</f>
        <v>289.80000000000007</v>
      </c>
      <c r="J40" s="2">
        <f t="shared" ref="J40" si="3">J41 - J39 - J38</f>
        <v>72.599999999999966</v>
      </c>
      <c r="K40" s="2">
        <f t="shared" ref="K40:L40" si="4">K41 - K39 - K38</f>
        <v>531.79999999999995</v>
      </c>
      <c r="L40" s="2">
        <f t="shared" si="4"/>
        <v>741.2</v>
      </c>
      <c r="M40" s="2">
        <f t="shared" ref="M40" si="5">M41 - M39 - M38</f>
        <v>325.80000000000007</v>
      </c>
      <c r="N40" s="2">
        <f t="shared" ref="N40" si="6">N41 - N39 - N38</f>
        <v>291.00000000000006</v>
      </c>
      <c r="O40" s="2"/>
      <c r="P40" s="2"/>
      <c r="Q40" s="2"/>
    </row>
    <row r="41" spans="2:17" x14ac:dyDescent="0.25">
      <c r="B41" t="s">
        <v>25</v>
      </c>
      <c r="C41" s="2">
        <f>AVERAGE(Table33[Newtonsoft])</f>
        <v>1051</v>
      </c>
      <c r="D41" s="2">
        <f>AVERAGE(Table33[Revenj])</f>
        <v>383.8</v>
      </c>
      <c r="E41" s="2">
        <f>AVERAGE(Table33[fastJSON])</f>
        <v>927.6</v>
      </c>
      <c r="F41" s="2">
        <f>AVERAGE(Table33[Service Stack])</f>
        <v>1100</v>
      </c>
      <c r="G41" s="2">
        <f>AVERAGE(Table33[Jil])</f>
        <v>543</v>
      </c>
      <c r="H41" s="2">
        <f>AVERAGE(Table33[NetJSON])</f>
        <v>421.6</v>
      </c>
      <c r="I41" s="2">
        <f>AVERAGE(Table33[Jackson])</f>
        <v>677.2</v>
      </c>
      <c r="J41" s="2">
        <f>AVERAGE(Table33[DSL Platform Java])</f>
        <v>344.2</v>
      </c>
      <c r="K41" s="2">
        <f>AVERAGE(Table33[Genson])</f>
        <v>1210.2</v>
      </c>
      <c r="L41" s="2">
        <f>AVERAGE(Table33[Boon])</f>
        <v>1179</v>
      </c>
      <c r="M41" s="2">
        <f>AVERAGE(Table33[Alibaba])</f>
        <v>733.2</v>
      </c>
      <c r="N41" s="2">
        <f>AVERAGE(Table33[Gson])</f>
        <v>698.2</v>
      </c>
      <c r="O41" s="2"/>
      <c r="P41" s="2"/>
      <c r="Q41" s="2"/>
    </row>
    <row r="42" spans="2:17" x14ac:dyDescent="0.25">
      <c r="B42" t="s">
        <v>4</v>
      </c>
      <c r="C42" s="3">
        <f>AVERAGE(Table31[Newtonsoft (size)])</f>
        <v>3346889</v>
      </c>
      <c r="D42" s="3">
        <f>AVERAGE(Table31[Revenj (size)])</f>
        <v>3346472</v>
      </c>
      <c r="E42" s="3">
        <f>AVERAGE(Table31[fastJSON (size)])</f>
        <v>3346489</v>
      </c>
      <c r="F42" s="3">
        <f>AVERAGE(Table31[Service Stack (size)])</f>
        <v>3346489</v>
      </c>
      <c r="G42" s="2">
        <f>AVERAGE(Table31[Jil (size)])</f>
        <v>3346489</v>
      </c>
      <c r="H42" s="2">
        <f>AVERAGE(Table31[NetJSON (size)])</f>
        <v>3346472</v>
      </c>
      <c r="I42" s="2">
        <f>AVERAGE(Table31[Jackson (size)])</f>
        <v>3346883</v>
      </c>
      <c r="J42" s="2">
        <f>AVERAGE(Table31[DSL Platform Java (size)])</f>
        <v>3346868</v>
      </c>
      <c r="K42" s="2">
        <f>AVERAGE(Table31[Genson (size)])</f>
        <v>3346889</v>
      </c>
      <c r="L42" s="2">
        <f>AVERAGE(Table31[Boon (size)])</f>
        <v>3346875</v>
      </c>
      <c r="M42" s="2">
        <f>AVERAGE(Table31[Alibaba (size)])</f>
        <v>3346689</v>
      </c>
      <c r="N42" s="2">
        <f>AVERAGE(Table31[Gson (size)])</f>
        <v>3346889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DEVSQ(Table31[Newtonsoft])</f>
        <v>166</v>
      </c>
      <c r="D47" s="2">
        <f>DEVSQ(Table31[Revenj])</f>
        <v>50</v>
      </c>
      <c r="E47" s="2">
        <f>DEVSQ(Table31[fastJSON])</f>
        <v>48</v>
      </c>
      <c r="F47" s="2">
        <f>DEVSQ(Table31[Service Stack])</f>
        <v>235.2</v>
      </c>
      <c r="G47" s="2">
        <f>DEVSQ(Table31[Jil])</f>
        <v>252</v>
      </c>
      <c r="H47" s="2">
        <f>DEVSQ(Table31[NetJSON])</f>
        <v>72</v>
      </c>
      <c r="I47" s="2">
        <f>DEVSQ(Table31[Jackson])</f>
        <v>77.2</v>
      </c>
      <c r="J47" s="2">
        <f>DEVSQ(Table31[DSL Platform Java])</f>
        <v>81.2</v>
      </c>
      <c r="K47" s="2">
        <f>DEVSQ(Table31[Genson])</f>
        <v>79.2</v>
      </c>
      <c r="L47" s="2">
        <f>DEVSQ(Table31[Boon])</f>
        <v>318.80000000000007</v>
      </c>
      <c r="M47" s="2">
        <f>DEVSQ(Table31[Alibaba])</f>
        <v>83.2</v>
      </c>
      <c r="N47" s="2">
        <f>DEVSQ(Table31[Gson])</f>
        <v>26.8</v>
      </c>
      <c r="O47" s="2"/>
      <c r="P47" s="2"/>
      <c r="Q47" s="2"/>
    </row>
    <row r="48" spans="2:17" x14ac:dyDescent="0.25">
      <c r="B48" t="s">
        <v>25</v>
      </c>
      <c r="C48" s="2">
        <f>DEVSQ(Table33[Newtonsoft])</f>
        <v>970</v>
      </c>
      <c r="D48" s="2">
        <f>DEVSQ(Table33[Revenj])</f>
        <v>34.799999999999997</v>
      </c>
      <c r="E48" s="2">
        <f>DEVSQ(Table33[fastJSON])</f>
        <v>211.2</v>
      </c>
      <c r="F48" s="2">
        <f>DEVSQ(Table33[Service Stack])</f>
        <v>206</v>
      </c>
      <c r="G48" s="2">
        <f>DEVSQ(Table33[Jil])</f>
        <v>208</v>
      </c>
      <c r="H48" s="2">
        <f>DEVSQ(Table33[NetJSON])</f>
        <v>91.2</v>
      </c>
      <c r="I48" s="2">
        <f>DEVSQ(Table33[Jackson])</f>
        <v>482.8</v>
      </c>
      <c r="J48" s="2">
        <f>DEVSQ(Table33[DSL Platform Java])</f>
        <v>26.8</v>
      </c>
      <c r="K48" s="2">
        <f>DEVSQ(Table33[Genson])</f>
        <v>29736.799999999999</v>
      </c>
      <c r="L48" s="2">
        <f>DEVSQ(Table33[Boon])</f>
        <v>1014</v>
      </c>
      <c r="M48" s="2">
        <f>DEVSQ(Table33[Alibaba])</f>
        <v>38.799999999999997</v>
      </c>
      <c r="N48" s="2">
        <f>DEVSQ(Table33[Gson])</f>
        <v>454.8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68</v>
      </c>
      <c r="C52">
        <v>69</v>
      </c>
      <c r="D52">
        <v>71</v>
      </c>
      <c r="E52">
        <v>69</v>
      </c>
      <c r="F52">
        <v>69</v>
      </c>
      <c r="G52">
        <v>69</v>
      </c>
      <c r="H52">
        <v>142</v>
      </c>
      <c r="I52">
        <v>142</v>
      </c>
      <c r="J52">
        <v>141</v>
      </c>
      <c r="K52">
        <v>143</v>
      </c>
      <c r="L52">
        <v>148</v>
      </c>
      <c r="M52">
        <v>144</v>
      </c>
    </row>
    <row r="53" spans="2:25" x14ac:dyDescent="0.25">
      <c r="B53">
        <v>68</v>
      </c>
      <c r="C53">
        <v>69</v>
      </c>
      <c r="D53">
        <v>71</v>
      </c>
      <c r="E53">
        <v>69</v>
      </c>
      <c r="F53">
        <v>69</v>
      </c>
      <c r="G53">
        <v>70</v>
      </c>
      <c r="H53">
        <v>141</v>
      </c>
      <c r="I53">
        <v>142</v>
      </c>
      <c r="J53">
        <v>140</v>
      </c>
      <c r="K53">
        <v>144</v>
      </c>
      <c r="L53">
        <v>148</v>
      </c>
      <c r="M53">
        <v>143</v>
      </c>
    </row>
    <row r="54" spans="2:25" x14ac:dyDescent="0.25">
      <c r="B54">
        <v>68</v>
      </c>
      <c r="C54">
        <v>69</v>
      </c>
      <c r="D54">
        <v>71</v>
      </c>
      <c r="E54">
        <v>69</v>
      </c>
      <c r="F54">
        <v>69</v>
      </c>
      <c r="G54">
        <v>70</v>
      </c>
      <c r="H54">
        <v>142</v>
      </c>
      <c r="I54">
        <v>143</v>
      </c>
      <c r="J54">
        <v>142</v>
      </c>
      <c r="K54">
        <v>144</v>
      </c>
      <c r="L54">
        <v>145</v>
      </c>
      <c r="M54">
        <v>143</v>
      </c>
    </row>
    <row r="55" spans="2:25" x14ac:dyDescent="0.25">
      <c r="B55">
        <v>68</v>
      </c>
      <c r="C55">
        <v>70</v>
      </c>
      <c r="D55">
        <v>71</v>
      </c>
      <c r="E55">
        <v>69</v>
      </c>
      <c r="F55">
        <v>69</v>
      </c>
      <c r="G55">
        <v>70</v>
      </c>
      <c r="H55">
        <v>142</v>
      </c>
      <c r="I55">
        <v>142</v>
      </c>
      <c r="J55">
        <v>142</v>
      </c>
      <c r="K55">
        <v>143</v>
      </c>
      <c r="L55">
        <v>148</v>
      </c>
      <c r="M55">
        <v>142</v>
      </c>
    </row>
    <row r="56" spans="2:25" x14ac:dyDescent="0.25">
      <c r="B56">
        <v>68</v>
      </c>
      <c r="C56">
        <v>69</v>
      </c>
      <c r="D56">
        <v>71</v>
      </c>
      <c r="E56">
        <v>69</v>
      </c>
      <c r="F56">
        <v>69</v>
      </c>
      <c r="G56">
        <v>69</v>
      </c>
      <c r="H56">
        <v>150</v>
      </c>
      <c r="I56">
        <v>143</v>
      </c>
      <c r="J56">
        <v>141</v>
      </c>
      <c r="K56">
        <v>143</v>
      </c>
      <c r="L56">
        <v>144</v>
      </c>
      <c r="M56">
        <v>144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395</v>
      </c>
      <c r="C60">
        <v>228</v>
      </c>
      <c r="D60">
        <v>347</v>
      </c>
      <c r="E60">
        <v>581</v>
      </c>
      <c r="F60">
        <v>312</v>
      </c>
      <c r="G60">
        <v>255</v>
      </c>
      <c r="H60">
        <v>386</v>
      </c>
      <c r="I60">
        <v>276</v>
      </c>
      <c r="J60">
        <v>685</v>
      </c>
      <c r="K60">
        <v>451</v>
      </c>
      <c r="L60">
        <v>413</v>
      </c>
      <c r="M60">
        <v>406</v>
      </c>
      <c r="N60">
        <v>3346889</v>
      </c>
      <c r="O60">
        <v>3346472</v>
      </c>
      <c r="P60">
        <v>3346489</v>
      </c>
      <c r="Q60">
        <v>3346489</v>
      </c>
      <c r="R60">
        <v>3346489</v>
      </c>
      <c r="S60">
        <v>3346472</v>
      </c>
      <c r="T60">
        <v>3346883</v>
      </c>
      <c r="U60">
        <v>3346868</v>
      </c>
      <c r="V60">
        <v>3346889</v>
      </c>
      <c r="W60">
        <v>3346875</v>
      </c>
      <c r="X60">
        <v>3346689</v>
      </c>
      <c r="Y60">
        <v>3346889</v>
      </c>
    </row>
    <row r="61" spans="2:25" x14ac:dyDescent="0.25">
      <c r="B61">
        <v>397</v>
      </c>
      <c r="C61">
        <v>235</v>
      </c>
      <c r="D61">
        <v>345</v>
      </c>
      <c r="E61">
        <v>587</v>
      </c>
      <c r="F61">
        <v>328</v>
      </c>
      <c r="G61">
        <v>249</v>
      </c>
      <c r="H61">
        <v>395</v>
      </c>
      <c r="I61">
        <v>268</v>
      </c>
      <c r="J61">
        <v>679</v>
      </c>
      <c r="K61">
        <v>443</v>
      </c>
      <c r="L61">
        <v>407</v>
      </c>
      <c r="M61">
        <v>407</v>
      </c>
      <c r="N61">
        <v>3346889</v>
      </c>
      <c r="O61">
        <v>3346472</v>
      </c>
      <c r="P61">
        <v>3346489</v>
      </c>
      <c r="Q61">
        <v>3346489</v>
      </c>
      <c r="R61">
        <v>3346489</v>
      </c>
      <c r="S61">
        <v>3346472</v>
      </c>
      <c r="T61">
        <v>3346883</v>
      </c>
      <c r="U61">
        <v>3346868</v>
      </c>
      <c r="V61">
        <v>3346889</v>
      </c>
      <c r="W61">
        <v>3346875</v>
      </c>
      <c r="X61">
        <v>3346689</v>
      </c>
      <c r="Y61">
        <v>3346889</v>
      </c>
    </row>
    <row r="62" spans="2:25" x14ac:dyDescent="0.25">
      <c r="B62">
        <v>394</v>
      </c>
      <c r="C62">
        <v>229</v>
      </c>
      <c r="D62">
        <v>345</v>
      </c>
      <c r="E62">
        <v>573</v>
      </c>
      <c r="F62">
        <v>328</v>
      </c>
      <c r="G62">
        <v>255</v>
      </c>
      <c r="H62">
        <v>387</v>
      </c>
      <c r="I62">
        <v>277</v>
      </c>
      <c r="J62">
        <v>676</v>
      </c>
      <c r="K62">
        <v>430</v>
      </c>
      <c r="L62">
        <v>411</v>
      </c>
      <c r="M62">
        <v>408</v>
      </c>
      <c r="N62">
        <v>3346889</v>
      </c>
      <c r="O62">
        <v>3346472</v>
      </c>
      <c r="P62">
        <v>3346489</v>
      </c>
      <c r="Q62">
        <v>3346489</v>
      </c>
      <c r="R62">
        <v>3346489</v>
      </c>
      <c r="S62">
        <v>3346472</v>
      </c>
      <c r="T62">
        <v>3346883</v>
      </c>
      <c r="U62">
        <v>3346868</v>
      </c>
      <c r="V62">
        <v>3346889</v>
      </c>
      <c r="W62">
        <v>3346875</v>
      </c>
      <c r="X62">
        <v>3346689</v>
      </c>
      <c r="Y62">
        <v>3346889</v>
      </c>
    </row>
    <row r="63" spans="2:25" x14ac:dyDescent="0.25">
      <c r="B63">
        <v>399</v>
      </c>
      <c r="C63">
        <v>236</v>
      </c>
      <c r="D63">
        <v>345</v>
      </c>
      <c r="E63">
        <v>591</v>
      </c>
      <c r="F63">
        <v>313</v>
      </c>
      <c r="G63">
        <v>255</v>
      </c>
      <c r="H63">
        <v>384</v>
      </c>
      <c r="I63">
        <v>268</v>
      </c>
      <c r="J63">
        <v>673</v>
      </c>
      <c r="K63">
        <v>433</v>
      </c>
      <c r="L63">
        <v>403</v>
      </c>
      <c r="M63">
        <v>404</v>
      </c>
      <c r="N63">
        <v>3346889</v>
      </c>
      <c r="O63">
        <v>3346472</v>
      </c>
      <c r="P63">
        <v>3346489</v>
      </c>
      <c r="Q63">
        <v>3346489</v>
      </c>
      <c r="R63">
        <v>3346489</v>
      </c>
      <c r="S63">
        <v>3346472</v>
      </c>
      <c r="T63">
        <v>3346883</v>
      </c>
      <c r="U63">
        <v>3346868</v>
      </c>
      <c r="V63">
        <v>3346889</v>
      </c>
      <c r="W63">
        <v>3346875</v>
      </c>
      <c r="X63">
        <v>3346689</v>
      </c>
      <c r="Y63">
        <v>3346889</v>
      </c>
    </row>
    <row r="64" spans="2:25" x14ac:dyDescent="0.25">
      <c r="B64">
        <v>410</v>
      </c>
      <c r="C64">
        <v>232</v>
      </c>
      <c r="D64">
        <v>353</v>
      </c>
      <c r="E64">
        <v>591</v>
      </c>
      <c r="F64">
        <v>324</v>
      </c>
      <c r="G64">
        <v>261</v>
      </c>
      <c r="H64">
        <v>385</v>
      </c>
      <c r="I64">
        <v>269</v>
      </c>
      <c r="J64">
        <v>679</v>
      </c>
      <c r="K64">
        <v>432</v>
      </c>
      <c r="L64">
        <v>403</v>
      </c>
      <c r="M64">
        <v>411</v>
      </c>
      <c r="N64">
        <v>3346889</v>
      </c>
      <c r="O64">
        <v>3346472</v>
      </c>
      <c r="P64">
        <v>3346489</v>
      </c>
      <c r="Q64">
        <v>3346489</v>
      </c>
      <c r="R64">
        <v>3346489</v>
      </c>
      <c r="S64">
        <v>3346472</v>
      </c>
      <c r="T64">
        <v>3346883</v>
      </c>
      <c r="U64">
        <v>3346868</v>
      </c>
      <c r="V64">
        <v>3346889</v>
      </c>
      <c r="W64">
        <v>3346875</v>
      </c>
      <c r="X64">
        <v>3346689</v>
      </c>
      <c r="Y64">
        <v>3346889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1050</v>
      </c>
      <c r="C68">
        <v>389</v>
      </c>
      <c r="D68">
        <v>927</v>
      </c>
      <c r="E68">
        <v>1111</v>
      </c>
      <c r="F68">
        <v>541</v>
      </c>
      <c r="G68">
        <v>427</v>
      </c>
      <c r="H68">
        <v>666</v>
      </c>
      <c r="I68">
        <v>343</v>
      </c>
      <c r="J68">
        <v>1203</v>
      </c>
      <c r="K68">
        <v>1173</v>
      </c>
      <c r="L68">
        <v>735</v>
      </c>
      <c r="M68">
        <v>689</v>
      </c>
    </row>
    <row r="69" spans="2:13" x14ac:dyDescent="0.25">
      <c r="B69">
        <v>1059</v>
      </c>
      <c r="C69">
        <v>382</v>
      </c>
      <c r="D69">
        <v>920</v>
      </c>
      <c r="E69">
        <v>1098</v>
      </c>
      <c r="F69">
        <v>538</v>
      </c>
      <c r="G69">
        <v>415</v>
      </c>
      <c r="H69">
        <v>666</v>
      </c>
      <c r="I69">
        <v>341</v>
      </c>
      <c r="J69">
        <v>1064</v>
      </c>
      <c r="K69">
        <v>1158</v>
      </c>
      <c r="L69">
        <v>730</v>
      </c>
      <c r="M69">
        <v>688</v>
      </c>
    </row>
    <row r="70" spans="2:13" x14ac:dyDescent="0.25">
      <c r="B70">
        <v>1073</v>
      </c>
      <c r="C70">
        <v>383</v>
      </c>
      <c r="D70">
        <v>939</v>
      </c>
      <c r="E70">
        <v>1103</v>
      </c>
      <c r="F70">
        <v>554</v>
      </c>
      <c r="G70">
        <v>419</v>
      </c>
      <c r="H70">
        <v>683</v>
      </c>
      <c r="I70">
        <v>344</v>
      </c>
      <c r="J70">
        <v>1278</v>
      </c>
      <c r="K70">
        <v>1201</v>
      </c>
      <c r="L70">
        <v>737</v>
      </c>
      <c r="M70">
        <v>695</v>
      </c>
    </row>
    <row r="71" spans="2:13" x14ac:dyDescent="0.25">
      <c r="B71">
        <v>1036</v>
      </c>
      <c r="C71">
        <v>383</v>
      </c>
      <c r="D71">
        <v>923</v>
      </c>
      <c r="E71">
        <v>1094</v>
      </c>
      <c r="F71">
        <v>546</v>
      </c>
      <c r="G71">
        <v>425</v>
      </c>
      <c r="H71">
        <v>691</v>
      </c>
      <c r="I71">
        <v>345</v>
      </c>
      <c r="J71">
        <v>1258</v>
      </c>
      <c r="K71">
        <v>1177</v>
      </c>
      <c r="L71">
        <v>734</v>
      </c>
      <c r="M71">
        <v>709</v>
      </c>
    </row>
    <row r="72" spans="2:13" x14ac:dyDescent="0.25">
      <c r="B72">
        <v>1037</v>
      </c>
      <c r="C72">
        <v>382</v>
      </c>
      <c r="D72">
        <v>929</v>
      </c>
      <c r="E72">
        <v>1094</v>
      </c>
      <c r="F72">
        <v>536</v>
      </c>
      <c r="G72">
        <v>422</v>
      </c>
      <c r="H72">
        <v>680</v>
      </c>
      <c r="I72">
        <v>348</v>
      </c>
      <c r="J72">
        <v>1248</v>
      </c>
      <c r="K72">
        <v>1186</v>
      </c>
      <c r="L72">
        <v>730</v>
      </c>
      <c r="M72">
        <v>710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2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40</v>
      </c>
    </row>
    <row r="37" spans="2:17" x14ac:dyDescent="0.25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AVERAGE(Table37[Newtonsoft])</f>
        <v>507.2</v>
      </c>
      <c r="D38" s="2">
        <f>AVERAGE(Table37[Revenj])</f>
        <v>513.4</v>
      </c>
      <c r="E38" s="2">
        <f>AVERAGE(Table37[fastJSON])</f>
        <v>537</v>
      </c>
      <c r="F38" s="2">
        <f>AVERAGE(Table37[Service Stack])</f>
        <v>519.20000000000005</v>
      </c>
      <c r="G38" s="2">
        <f>AVERAGE(Table37[Jil])</f>
        <v>512.6</v>
      </c>
      <c r="H38" s="2">
        <f>AVERAGE(Table37[NetJSON])</f>
        <v>518.79999999999995</v>
      </c>
      <c r="I38" s="2">
        <f>AVERAGE(Table37[Jackson])</f>
        <v>490.4</v>
      </c>
      <c r="J38" s="2">
        <f>AVERAGE(Table37[DSL Platform Java])</f>
        <v>488.4</v>
      </c>
      <c r="K38" s="2">
        <f>AVERAGE(Table37[Genson])</f>
        <v>487.8</v>
      </c>
      <c r="L38" s="2">
        <f>AVERAGE(Table37[Boon])</f>
        <v>491.2</v>
      </c>
      <c r="M38" s="2">
        <f>AVERAGE(Table37[Alibaba])</f>
        <v>504.8</v>
      </c>
      <c r="N38" s="2">
        <f>AVERAGE(Table37[Gson])</f>
        <v>484.4</v>
      </c>
      <c r="O38" s="2"/>
      <c r="P38" s="2"/>
      <c r="Q38" s="2"/>
    </row>
    <row r="39" spans="2:17" x14ac:dyDescent="0.25">
      <c r="B39" t="s">
        <v>0</v>
      </c>
      <c r="C39" s="2">
        <f>AVERAGE(Table36[Newtonsoft]) - C38</f>
        <v>3309.8</v>
      </c>
      <c r="D39" s="2">
        <f>AVERAGE(Table36[Revenj]) - D38</f>
        <v>1583.6</v>
      </c>
      <c r="E39" s="2">
        <f>AVERAGE(Table36[fastJSON]) - E38</f>
        <v>2754</v>
      </c>
      <c r="F39" s="2">
        <f>AVERAGE(Table36[Service Stack]) - F38</f>
        <v>4775.4000000000005</v>
      </c>
      <c r="G39" s="2">
        <f>AVERAGE(Table36[Jil]) - G38</f>
        <v>2365.4</v>
      </c>
      <c r="H39" s="2">
        <f>AVERAGE(Table36[NetJSON]) - H38</f>
        <v>1714.6000000000001</v>
      </c>
      <c r="I39" s="2">
        <f>AVERAGE(Table36[Jackson]) - I38</f>
        <v>1098.4000000000001</v>
      </c>
      <c r="J39" s="2">
        <f>AVERAGE(Table36[DSL Platform Java]) - J38</f>
        <v>495</v>
      </c>
      <c r="K39" s="2">
        <f>AVERAGE(Table36[Genson]) - K38</f>
        <v>3694.3999999999996</v>
      </c>
      <c r="L39" s="2">
        <f>AVERAGE(Table36[Boon]) - L38</f>
        <v>1757.9999999999998</v>
      </c>
      <c r="M39" s="2">
        <f>AVERAGE(Table36[Alibaba]) - M38</f>
        <v>968.60000000000014</v>
      </c>
      <c r="N39" s="2">
        <f>AVERAGE(Table36[Gson]) - N38</f>
        <v>1721.4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6171.4</v>
      </c>
      <c r="D40" s="2">
        <f t="shared" si="0"/>
        <v>1407.8000000000002</v>
      </c>
      <c r="E40" s="2">
        <f t="shared" ref="E40" si="1">E41 - E39 - E38</f>
        <v>5835.7999999999993</v>
      </c>
      <c r="F40" s="2">
        <f t="shared" si="0"/>
        <v>4635.1999999999989</v>
      </c>
      <c r="G40" s="2">
        <f t="shared" si="0"/>
        <v>2186.6000000000004</v>
      </c>
      <c r="H40" s="2">
        <f t="shared" si="0"/>
        <v>1749.5999999999997</v>
      </c>
      <c r="I40" s="2">
        <f t="shared" ref="I40" si="2">I41 - I39 - I38</f>
        <v>1468.3999999999996</v>
      </c>
      <c r="J40" s="2">
        <f t="shared" ref="J40" si="3">J41 - J39 - J38</f>
        <v>435.4</v>
      </c>
      <c r="K40" s="2">
        <f t="shared" ref="K40:L40" si="4">K41 - K39 - K38</f>
        <v>4293.8</v>
      </c>
      <c r="L40" s="2">
        <f t="shared" si="4"/>
        <v>6774.5999999999995</v>
      </c>
      <c r="M40" s="2">
        <f t="shared" ref="M40" si="5">M41 - M39 - M38</f>
        <v>1732.5999999999997</v>
      </c>
      <c r="N40" s="2">
        <f t="shared" ref="N40" si="6">N41 - N39 - N38</f>
        <v>2036</v>
      </c>
      <c r="O40" s="2"/>
      <c r="P40" s="2"/>
      <c r="Q40" s="2"/>
    </row>
    <row r="41" spans="2:17" x14ac:dyDescent="0.25">
      <c r="B41" t="s">
        <v>25</v>
      </c>
      <c r="C41" s="2">
        <f>AVERAGE(Table38[Newtonsoft])</f>
        <v>9988.4</v>
      </c>
      <c r="D41" s="2">
        <f>AVERAGE(Table38[Revenj])</f>
        <v>3504.8</v>
      </c>
      <c r="E41" s="2">
        <f>AVERAGE(Table38[fastJSON])</f>
        <v>9126.7999999999993</v>
      </c>
      <c r="F41" s="2">
        <f>AVERAGE(Table38[Service Stack])</f>
        <v>9929.7999999999993</v>
      </c>
      <c r="G41" s="2">
        <f>AVERAGE(Table38[Jil])</f>
        <v>5064.6000000000004</v>
      </c>
      <c r="H41" s="2">
        <f>AVERAGE(Table38[NetJSON])</f>
        <v>3983</v>
      </c>
      <c r="I41" s="2">
        <f>AVERAGE(Table38[Jackson])</f>
        <v>3057.2</v>
      </c>
      <c r="J41" s="2">
        <f>AVERAGE(Table38[DSL Platform Java])</f>
        <v>1418.8</v>
      </c>
      <c r="K41" s="2">
        <f>AVERAGE(Table38[Genson])</f>
        <v>8476</v>
      </c>
      <c r="L41" s="2">
        <f>AVERAGE(Table38[Boon])</f>
        <v>9023.7999999999993</v>
      </c>
      <c r="M41" s="2">
        <f>AVERAGE(Table38[Alibaba])</f>
        <v>3206</v>
      </c>
      <c r="N41" s="2">
        <f>AVERAGE(Table38[Gson])</f>
        <v>4241.8</v>
      </c>
      <c r="O41" s="2"/>
      <c r="P41" s="2"/>
      <c r="Q41" s="2"/>
    </row>
    <row r="42" spans="2:17" x14ac:dyDescent="0.25">
      <c r="B42" t="s">
        <v>4</v>
      </c>
      <c r="C42" s="3">
        <f>AVERAGE(Table36[Newtonsoft (size)])</f>
        <v>36448889</v>
      </c>
      <c r="D42" s="3">
        <f>AVERAGE(Table36[Revenj (size)])</f>
        <v>36444872</v>
      </c>
      <c r="E42" s="3">
        <f>AVERAGE(Table36[fastJSON (size)])</f>
        <v>36444889</v>
      </c>
      <c r="F42" s="3">
        <f>AVERAGE(Table36[Service Stack (size)])</f>
        <v>36444889</v>
      </c>
      <c r="G42" s="2">
        <f>AVERAGE(Table36[Jil (size)])</f>
        <v>36444889</v>
      </c>
      <c r="H42" s="2">
        <f>AVERAGE(Table36[NetJSON (size)])</f>
        <v>36444872</v>
      </c>
      <c r="I42" s="2">
        <f>AVERAGE(Table36[Jackson (size)])</f>
        <v>36448883</v>
      </c>
      <c r="J42" s="2">
        <f>AVERAGE(Table36[DSL Platform Java (size)])</f>
        <v>36448868</v>
      </c>
      <c r="K42" s="2">
        <f>AVERAGE(Table36[Genson (size)])</f>
        <v>36448889</v>
      </c>
      <c r="L42" s="2">
        <f>AVERAGE(Table36[Boon (size)])</f>
        <v>36448875</v>
      </c>
      <c r="M42" s="2">
        <f>AVERAGE(Table36[Alibaba (size)])</f>
        <v>36446889</v>
      </c>
      <c r="N42" s="2">
        <f>AVERAGE(Table36[Gson (size)])</f>
        <v>36448889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DEVSQ(Table36[Newtonsoft])</f>
        <v>864</v>
      </c>
      <c r="D47" s="2">
        <f>DEVSQ(Table36[Revenj])</f>
        <v>6452</v>
      </c>
      <c r="E47" s="2">
        <f>DEVSQ(Table36[fastJSON])</f>
        <v>1170</v>
      </c>
      <c r="F47" s="2">
        <f>DEVSQ(Table36[Service Stack])</f>
        <v>6923.2</v>
      </c>
      <c r="G47" s="2">
        <f>DEVSQ(Table36[Jil])</f>
        <v>1474</v>
      </c>
      <c r="H47" s="2">
        <f>DEVSQ(Table36[NetJSON])</f>
        <v>121.2</v>
      </c>
      <c r="I47" s="2">
        <f>DEVSQ(Table36[Jackson])</f>
        <v>28100.799999999999</v>
      </c>
      <c r="J47" s="2">
        <f>DEVSQ(Table36[DSL Platform Java])</f>
        <v>25.200000000000003</v>
      </c>
      <c r="K47" s="2">
        <f>DEVSQ(Table36[Genson])</f>
        <v>16208.8</v>
      </c>
      <c r="L47" s="2">
        <f>DEVSQ(Table36[Boon])</f>
        <v>16590.8</v>
      </c>
      <c r="M47" s="2">
        <f>DEVSQ(Table36[Alibaba])</f>
        <v>1881.2</v>
      </c>
      <c r="N47" s="2">
        <f>DEVSQ(Table36[Gson])</f>
        <v>404.79999999999995</v>
      </c>
      <c r="O47" s="2"/>
      <c r="P47" s="2"/>
      <c r="Q47" s="2"/>
    </row>
    <row r="48" spans="2:17" x14ac:dyDescent="0.25">
      <c r="B48" t="s">
        <v>25</v>
      </c>
      <c r="C48" s="2">
        <f>DEVSQ(Table38[Newtonsoft])</f>
        <v>4451.2000000000007</v>
      </c>
      <c r="D48" s="2">
        <f>DEVSQ(Table38[Revenj])</f>
        <v>242.8</v>
      </c>
      <c r="E48" s="2">
        <f>DEVSQ(Table38[fastJSON])</f>
        <v>24012.799999999999</v>
      </c>
      <c r="F48" s="2">
        <f>DEVSQ(Table38[Service Stack])</f>
        <v>13586.8</v>
      </c>
      <c r="G48" s="2">
        <f>DEVSQ(Table38[Jil])</f>
        <v>39059.199999999997</v>
      </c>
      <c r="H48" s="2">
        <f>DEVSQ(Table38[NetJSON])</f>
        <v>12002</v>
      </c>
      <c r="I48" s="2">
        <f>DEVSQ(Table38[Jackson])</f>
        <v>42100.799999999996</v>
      </c>
      <c r="J48" s="2">
        <f>DEVSQ(Table38[DSL Platform Java])</f>
        <v>6398.8</v>
      </c>
      <c r="K48" s="2">
        <f>DEVSQ(Table38[Genson])</f>
        <v>44766</v>
      </c>
      <c r="L48" s="2">
        <f>DEVSQ(Table38[Boon])</f>
        <v>40816.800000000003</v>
      </c>
      <c r="M48" s="2">
        <f>DEVSQ(Table38[Alibaba])</f>
        <v>23464</v>
      </c>
      <c r="N48" s="2">
        <f>DEVSQ(Table38[Gson])</f>
        <v>6896.8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496</v>
      </c>
      <c r="C52">
        <v>515</v>
      </c>
      <c r="D52">
        <v>534</v>
      </c>
      <c r="E52">
        <v>518</v>
      </c>
      <c r="F52">
        <v>518</v>
      </c>
      <c r="G52">
        <v>520</v>
      </c>
      <c r="H52">
        <v>489</v>
      </c>
      <c r="I52">
        <v>491</v>
      </c>
      <c r="J52">
        <v>485</v>
      </c>
      <c r="K52">
        <v>490</v>
      </c>
      <c r="L52">
        <v>533</v>
      </c>
      <c r="M52">
        <v>484</v>
      </c>
    </row>
    <row r="53" spans="2:25" x14ac:dyDescent="0.25">
      <c r="B53">
        <v>506</v>
      </c>
      <c r="C53">
        <v>517</v>
      </c>
      <c r="D53">
        <v>529</v>
      </c>
      <c r="E53">
        <v>516</v>
      </c>
      <c r="F53">
        <v>505</v>
      </c>
      <c r="G53">
        <v>513</v>
      </c>
      <c r="H53">
        <v>487</v>
      </c>
      <c r="I53">
        <v>490</v>
      </c>
      <c r="J53">
        <v>487</v>
      </c>
      <c r="K53">
        <v>486</v>
      </c>
      <c r="L53">
        <v>488</v>
      </c>
      <c r="M53">
        <v>485</v>
      </c>
    </row>
    <row r="54" spans="2:25" x14ac:dyDescent="0.25">
      <c r="B54">
        <v>524</v>
      </c>
      <c r="C54">
        <v>515</v>
      </c>
      <c r="D54">
        <v>532</v>
      </c>
      <c r="E54">
        <v>516</v>
      </c>
      <c r="F54">
        <v>509</v>
      </c>
      <c r="G54">
        <v>520</v>
      </c>
      <c r="H54">
        <v>497</v>
      </c>
      <c r="I54">
        <v>486</v>
      </c>
      <c r="J54">
        <v>492</v>
      </c>
      <c r="K54">
        <v>487</v>
      </c>
      <c r="L54">
        <v>488</v>
      </c>
      <c r="M54">
        <v>484</v>
      </c>
    </row>
    <row r="55" spans="2:25" x14ac:dyDescent="0.25">
      <c r="B55">
        <v>504</v>
      </c>
      <c r="C55">
        <v>503</v>
      </c>
      <c r="D55">
        <v>544</v>
      </c>
      <c r="E55">
        <v>514</v>
      </c>
      <c r="F55">
        <v>513</v>
      </c>
      <c r="G55">
        <v>522</v>
      </c>
      <c r="H55">
        <v>489</v>
      </c>
      <c r="I55">
        <v>488</v>
      </c>
      <c r="J55">
        <v>487</v>
      </c>
      <c r="K55">
        <v>506</v>
      </c>
      <c r="L55">
        <v>530</v>
      </c>
      <c r="M55">
        <v>485</v>
      </c>
    </row>
    <row r="56" spans="2:25" x14ac:dyDescent="0.25">
      <c r="B56">
        <v>506</v>
      </c>
      <c r="C56">
        <v>517</v>
      </c>
      <c r="D56">
        <v>546</v>
      </c>
      <c r="E56">
        <v>532</v>
      </c>
      <c r="F56">
        <v>518</v>
      </c>
      <c r="G56">
        <v>519</v>
      </c>
      <c r="H56">
        <v>490</v>
      </c>
      <c r="I56">
        <v>487</v>
      </c>
      <c r="J56">
        <v>488</v>
      </c>
      <c r="K56">
        <v>487</v>
      </c>
      <c r="L56">
        <v>485</v>
      </c>
      <c r="M56">
        <v>484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3819</v>
      </c>
      <c r="C60">
        <v>2124</v>
      </c>
      <c r="D60">
        <v>3294</v>
      </c>
      <c r="E60">
        <v>5289</v>
      </c>
      <c r="F60">
        <v>2888</v>
      </c>
      <c r="G60">
        <v>2239</v>
      </c>
      <c r="H60">
        <v>1735</v>
      </c>
      <c r="I60">
        <v>983</v>
      </c>
      <c r="J60">
        <v>4174</v>
      </c>
      <c r="K60">
        <v>2222</v>
      </c>
      <c r="L60">
        <v>1450</v>
      </c>
      <c r="M60">
        <v>2212</v>
      </c>
      <c r="N60">
        <v>36448889</v>
      </c>
      <c r="O60">
        <v>36444872</v>
      </c>
      <c r="P60">
        <v>36444889</v>
      </c>
      <c r="Q60">
        <v>36444889</v>
      </c>
      <c r="R60">
        <v>36444889</v>
      </c>
      <c r="S60">
        <v>36444872</v>
      </c>
      <c r="T60">
        <v>36448883</v>
      </c>
      <c r="U60">
        <v>36448868</v>
      </c>
      <c r="V60">
        <v>36448889</v>
      </c>
      <c r="W60">
        <v>36448875</v>
      </c>
      <c r="X60">
        <v>36446889</v>
      </c>
      <c r="Y60">
        <v>36448889</v>
      </c>
    </row>
    <row r="61" spans="2:25" x14ac:dyDescent="0.25">
      <c r="B61">
        <v>3820</v>
      </c>
      <c r="C61">
        <v>2154</v>
      </c>
      <c r="D61">
        <v>3295</v>
      </c>
      <c r="E61">
        <v>5269</v>
      </c>
      <c r="F61">
        <v>2847</v>
      </c>
      <c r="G61">
        <v>2228</v>
      </c>
      <c r="H61">
        <v>1571</v>
      </c>
      <c r="I61">
        <v>983</v>
      </c>
      <c r="J61">
        <v>4080</v>
      </c>
      <c r="K61">
        <v>2218</v>
      </c>
      <c r="L61">
        <v>1485</v>
      </c>
      <c r="M61">
        <v>2196</v>
      </c>
      <c r="N61">
        <v>36448889</v>
      </c>
      <c r="O61">
        <v>36444872</v>
      </c>
      <c r="P61">
        <v>36444889</v>
      </c>
      <c r="Q61">
        <v>36444889</v>
      </c>
      <c r="R61">
        <v>36444889</v>
      </c>
      <c r="S61">
        <v>36444872</v>
      </c>
      <c r="T61">
        <v>36448883</v>
      </c>
      <c r="U61">
        <v>36448868</v>
      </c>
      <c r="V61">
        <v>36448889</v>
      </c>
      <c r="W61">
        <v>36448875</v>
      </c>
      <c r="X61">
        <v>36446889</v>
      </c>
      <c r="Y61">
        <v>36448889</v>
      </c>
    </row>
    <row r="62" spans="2:25" x14ac:dyDescent="0.25">
      <c r="B62">
        <v>3838</v>
      </c>
      <c r="C62">
        <v>2065</v>
      </c>
      <c r="D62">
        <v>3277</v>
      </c>
      <c r="E62">
        <v>5259</v>
      </c>
      <c r="F62">
        <v>2876</v>
      </c>
      <c r="G62">
        <v>2236</v>
      </c>
      <c r="H62">
        <v>1529</v>
      </c>
      <c r="I62">
        <v>980</v>
      </c>
      <c r="J62">
        <v>4187</v>
      </c>
      <c r="K62">
        <v>2314</v>
      </c>
      <c r="L62">
        <v>1453</v>
      </c>
      <c r="M62">
        <v>2220</v>
      </c>
      <c r="N62">
        <v>36448889</v>
      </c>
      <c r="O62">
        <v>36444872</v>
      </c>
      <c r="P62">
        <v>36444889</v>
      </c>
      <c r="Q62">
        <v>36444889</v>
      </c>
      <c r="R62">
        <v>36444889</v>
      </c>
      <c r="S62">
        <v>36444872</v>
      </c>
      <c r="T62">
        <v>36448883</v>
      </c>
      <c r="U62">
        <v>36448868</v>
      </c>
      <c r="V62">
        <v>36448889</v>
      </c>
      <c r="W62">
        <v>36448875</v>
      </c>
      <c r="X62">
        <v>36446889</v>
      </c>
      <c r="Y62">
        <v>36448889</v>
      </c>
    </row>
    <row r="63" spans="2:25" x14ac:dyDescent="0.25">
      <c r="B63">
        <v>3810</v>
      </c>
      <c r="C63">
        <v>2078</v>
      </c>
      <c r="D63">
        <v>3273</v>
      </c>
      <c r="E63">
        <v>5291</v>
      </c>
      <c r="F63">
        <v>2898</v>
      </c>
      <c r="G63">
        <v>2227</v>
      </c>
      <c r="H63">
        <v>1539</v>
      </c>
      <c r="I63">
        <v>987</v>
      </c>
      <c r="J63">
        <v>4242</v>
      </c>
      <c r="K63">
        <v>2319</v>
      </c>
      <c r="L63">
        <v>1478</v>
      </c>
      <c r="M63">
        <v>2198</v>
      </c>
      <c r="N63">
        <v>36448889</v>
      </c>
      <c r="O63">
        <v>36444872</v>
      </c>
      <c r="P63">
        <v>36444889</v>
      </c>
      <c r="Q63">
        <v>36444889</v>
      </c>
      <c r="R63">
        <v>36444889</v>
      </c>
      <c r="S63">
        <v>36444872</v>
      </c>
      <c r="T63">
        <v>36448883</v>
      </c>
      <c r="U63">
        <v>36448868</v>
      </c>
      <c r="V63">
        <v>36448889</v>
      </c>
      <c r="W63">
        <v>36448875</v>
      </c>
      <c r="X63">
        <v>36446889</v>
      </c>
      <c r="Y63">
        <v>36448889</v>
      </c>
    </row>
    <row r="64" spans="2:25" x14ac:dyDescent="0.25">
      <c r="B64">
        <v>3798</v>
      </c>
      <c r="C64">
        <v>2064</v>
      </c>
      <c r="D64">
        <v>3316</v>
      </c>
      <c r="E64">
        <v>5365</v>
      </c>
      <c r="F64">
        <v>2881</v>
      </c>
      <c r="G64">
        <v>2237</v>
      </c>
      <c r="H64">
        <v>1570</v>
      </c>
      <c r="I64">
        <v>984</v>
      </c>
      <c r="J64">
        <v>4228</v>
      </c>
      <c r="K64">
        <v>2173</v>
      </c>
      <c r="L64">
        <v>1501</v>
      </c>
      <c r="M64">
        <v>2203</v>
      </c>
      <c r="N64">
        <v>36448889</v>
      </c>
      <c r="O64">
        <v>36444872</v>
      </c>
      <c r="P64">
        <v>36444889</v>
      </c>
      <c r="Q64">
        <v>36444889</v>
      </c>
      <c r="R64">
        <v>36444889</v>
      </c>
      <c r="S64">
        <v>36444872</v>
      </c>
      <c r="T64">
        <v>36448883</v>
      </c>
      <c r="U64">
        <v>36448868</v>
      </c>
      <c r="V64">
        <v>36448889</v>
      </c>
      <c r="W64">
        <v>36448875</v>
      </c>
      <c r="X64">
        <v>36446889</v>
      </c>
      <c r="Y64">
        <v>36448889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9961</v>
      </c>
      <c r="C68">
        <v>3516</v>
      </c>
      <c r="D68">
        <v>9040</v>
      </c>
      <c r="E68">
        <v>9901</v>
      </c>
      <c r="F68">
        <v>4954</v>
      </c>
      <c r="G68">
        <v>3945</v>
      </c>
      <c r="H68">
        <v>3165</v>
      </c>
      <c r="I68">
        <v>1390</v>
      </c>
      <c r="J68">
        <v>8537</v>
      </c>
      <c r="K68">
        <v>8984</v>
      </c>
      <c r="L68">
        <v>3161</v>
      </c>
      <c r="M68">
        <v>4293</v>
      </c>
    </row>
    <row r="69" spans="2:13" x14ac:dyDescent="0.25">
      <c r="B69">
        <v>10011</v>
      </c>
      <c r="C69">
        <v>3496</v>
      </c>
      <c r="D69">
        <v>9208</v>
      </c>
      <c r="E69">
        <v>9903</v>
      </c>
      <c r="F69">
        <v>5184</v>
      </c>
      <c r="G69">
        <v>4079</v>
      </c>
      <c r="H69">
        <v>3080</v>
      </c>
      <c r="I69">
        <v>1400</v>
      </c>
      <c r="J69">
        <v>8521</v>
      </c>
      <c r="K69">
        <v>9082</v>
      </c>
      <c r="L69">
        <v>3208</v>
      </c>
      <c r="M69">
        <v>4202</v>
      </c>
    </row>
    <row r="70" spans="2:13" x14ac:dyDescent="0.25">
      <c r="B70">
        <v>10036</v>
      </c>
      <c r="C70">
        <v>3501</v>
      </c>
      <c r="D70">
        <v>9144</v>
      </c>
      <c r="E70">
        <v>9960</v>
      </c>
      <c r="F70">
        <v>5012</v>
      </c>
      <c r="G70">
        <v>3953</v>
      </c>
      <c r="H70">
        <v>3137</v>
      </c>
      <c r="I70">
        <v>1479</v>
      </c>
      <c r="J70">
        <v>8366</v>
      </c>
      <c r="K70">
        <v>9038</v>
      </c>
      <c r="L70">
        <v>3111</v>
      </c>
      <c r="M70">
        <v>4280</v>
      </c>
    </row>
    <row r="71" spans="2:13" x14ac:dyDescent="0.25">
      <c r="B71">
        <v>9965</v>
      </c>
      <c r="C71">
        <v>3502</v>
      </c>
      <c r="D71">
        <v>9052</v>
      </c>
      <c r="E71">
        <v>10016</v>
      </c>
      <c r="F71">
        <v>5153</v>
      </c>
      <c r="G71">
        <v>3974</v>
      </c>
      <c r="H71">
        <v>2925</v>
      </c>
      <c r="I71">
        <v>1385</v>
      </c>
      <c r="J71">
        <v>8362</v>
      </c>
      <c r="K71">
        <v>8875</v>
      </c>
      <c r="L71">
        <v>3313</v>
      </c>
      <c r="M71">
        <v>4218</v>
      </c>
    </row>
    <row r="72" spans="2:13" x14ac:dyDescent="0.25">
      <c r="B72">
        <v>9969</v>
      </c>
      <c r="C72">
        <v>3509</v>
      </c>
      <c r="D72">
        <v>9190</v>
      </c>
      <c r="E72">
        <v>9869</v>
      </c>
      <c r="F72">
        <v>5020</v>
      </c>
      <c r="G72">
        <v>3964</v>
      </c>
      <c r="H72">
        <v>2979</v>
      </c>
      <c r="I72">
        <v>1440</v>
      </c>
      <c r="J72">
        <v>8594</v>
      </c>
      <c r="K72">
        <v>9140</v>
      </c>
      <c r="L72">
        <v>3237</v>
      </c>
      <c r="M72">
        <v>4216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2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41</v>
      </c>
    </row>
    <row r="37" spans="2:17" x14ac:dyDescent="0.25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AVERAGE(Table42[Newtonsoft])</f>
        <v>4852</v>
      </c>
      <c r="D38" s="2">
        <f>AVERAGE(Table42[Revenj])</f>
        <v>5009.3999999999996</v>
      </c>
      <c r="E38" s="2">
        <f>AVERAGE(Table42[fastJSON])</f>
        <v>5364.6</v>
      </c>
      <c r="F38" s="2">
        <f>AVERAGE(Table42[Service Stack])</f>
        <v>5040.3999999999996</v>
      </c>
      <c r="G38" s="2">
        <f>AVERAGE(Table42[Jil])</f>
        <v>5057.6000000000004</v>
      </c>
      <c r="H38" s="2">
        <f>AVERAGE(Table42[NetJSON])</f>
        <v>5141.2</v>
      </c>
      <c r="I38" s="2">
        <f>AVERAGE(Table42[Jackson])</f>
        <v>4435</v>
      </c>
      <c r="J38" s="2">
        <f>AVERAGE(Table42[DSL Platform Java])</f>
        <v>4305.6000000000004</v>
      </c>
      <c r="K38" s="2">
        <f>AVERAGE(Table42[Genson])</f>
        <v>4339.8</v>
      </c>
      <c r="L38" s="2">
        <f>AVERAGE(Table42[Boon])</f>
        <v>4332.8</v>
      </c>
      <c r="M38" s="2">
        <f>AVERAGE(Table42[Alibaba])</f>
        <v>4422.2</v>
      </c>
      <c r="N38" s="2">
        <f>AVERAGE(Table42[Gson])</f>
        <v>4321.3999999999996</v>
      </c>
      <c r="O38" s="2"/>
      <c r="P38" s="2"/>
      <c r="Q38" s="2"/>
    </row>
    <row r="39" spans="2:17" x14ac:dyDescent="0.25">
      <c r="B39" t="s">
        <v>0</v>
      </c>
      <c r="C39" s="2">
        <f>AVERAGE(Table41[Newtonsoft]) - C38</f>
        <v>32430</v>
      </c>
      <c r="D39" s="2">
        <f>AVERAGE(Table41[Revenj]) - D38</f>
        <v>16104.6</v>
      </c>
      <c r="E39" s="2">
        <f>AVERAGE(Table41[fastJSON]) - E38</f>
        <v>27599.800000000003</v>
      </c>
      <c r="F39" s="2">
        <f>AVERAGE(Table41[Service Stack]) - F38</f>
        <v>44909</v>
      </c>
      <c r="G39" s="2">
        <f>AVERAGE(Table41[Jil]) - G38</f>
        <v>23410.199999999997</v>
      </c>
      <c r="H39" s="2">
        <f>AVERAGE(Table41[NetJSON]) - H38</f>
        <v>17169.8</v>
      </c>
      <c r="I39" s="2">
        <f>AVERAGE(Table41[Jackson]) - I38</f>
        <v>9481</v>
      </c>
      <c r="J39" s="2">
        <f>AVERAGE(Table41[DSL Platform Java]) - J38</f>
        <v>4473</v>
      </c>
      <c r="K39" s="2">
        <f>AVERAGE(Table41[Genson]) - K38</f>
        <v>36167</v>
      </c>
      <c r="L39" s="2">
        <f>AVERAGE(Table41[Boon]) - L38</f>
        <v>16102.400000000001</v>
      </c>
      <c r="M39" s="2">
        <f>AVERAGE(Table41[Alibaba]) - M38</f>
        <v>7746.8</v>
      </c>
      <c r="N39" s="2">
        <f>AVERAGE(Table41[Gson]) - N38</f>
        <v>14893.6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62345.600000000006</v>
      </c>
      <c r="D40" s="2">
        <f t="shared" si="0"/>
        <v>13923.199999999999</v>
      </c>
      <c r="E40" s="2">
        <f t="shared" ref="E40" si="1">E41 - E39 - E38</f>
        <v>57867.799999999996</v>
      </c>
      <c r="F40" s="2">
        <f t="shared" si="0"/>
        <v>48375.6</v>
      </c>
      <c r="G40" s="2">
        <f t="shared" si="0"/>
        <v>21708.600000000006</v>
      </c>
      <c r="H40" s="2">
        <f t="shared" si="0"/>
        <v>17145</v>
      </c>
      <c r="I40" s="2">
        <f t="shared" ref="I40" si="2">I41 - I39 - I38</f>
        <v>12381.2</v>
      </c>
      <c r="J40" s="2">
        <f t="shared" ref="J40" si="3">J41 - J39 - J38</f>
        <v>3336.7999999999993</v>
      </c>
      <c r="K40" s="2">
        <f t="shared" ref="K40:L40" si="4">K41 - K39 - K38</f>
        <v>41465.800000000003</v>
      </c>
      <c r="L40" s="2">
        <f t="shared" si="4"/>
        <v>68150.999999999985</v>
      </c>
      <c r="M40" s="2">
        <f t="shared" ref="M40" si="5">M41 - M39 - M38</f>
        <v>16964.8</v>
      </c>
      <c r="N40" s="2">
        <f t="shared" ref="N40" si="6">N41 - N39 - N38</f>
        <v>21474.800000000003</v>
      </c>
      <c r="O40" s="2"/>
      <c r="P40" s="2"/>
      <c r="Q40" s="2"/>
    </row>
    <row r="41" spans="2:17" x14ac:dyDescent="0.25">
      <c r="B41" t="s">
        <v>25</v>
      </c>
      <c r="C41" s="2">
        <f>AVERAGE(Table43[Newtonsoft])</f>
        <v>99627.6</v>
      </c>
      <c r="D41" s="2">
        <f>AVERAGE(Table43[Revenj])</f>
        <v>35037.199999999997</v>
      </c>
      <c r="E41" s="2">
        <f>AVERAGE(Table43[fastJSON])</f>
        <v>90832.2</v>
      </c>
      <c r="F41" s="2">
        <f>AVERAGE(Table43[Service Stack])</f>
        <v>98325</v>
      </c>
      <c r="G41" s="2">
        <f>AVERAGE(Table43[Jil])</f>
        <v>50176.4</v>
      </c>
      <c r="H41" s="2">
        <f>AVERAGE(Table43[NetJSON])</f>
        <v>39456</v>
      </c>
      <c r="I41" s="2">
        <f>AVERAGE(Table43[Jackson])</f>
        <v>26297.200000000001</v>
      </c>
      <c r="J41" s="2">
        <f>AVERAGE(Table43[DSL Platform Java])</f>
        <v>12115.4</v>
      </c>
      <c r="K41" s="2">
        <f>AVERAGE(Table43[Genson])</f>
        <v>81972.600000000006</v>
      </c>
      <c r="L41" s="2">
        <f>AVERAGE(Table43[Boon])</f>
        <v>88586.2</v>
      </c>
      <c r="M41" s="2">
        <f>AVERAGE(Table43[Alibaba])</f>
        <v>29133.8</v>
      </c>
      <c r="N41" s="2">
        <f>AVERAGE(Table43[Gson])</f>
        <v>40689.800000000003</v>
      </c>
      <c r="O41" s="2"/>
      <c r="P41" s="2"/>
      <c r="Q41" s="2"/>
    </row>
    <row r="42" spans="2:17" x14ac:dyDescent="0.25">
      <c r="B42" t="s">
        <v>4</v>
      </c>
      <c r="C42" s="3">
        <f>AVERAGE(Table41[Newtonsoft (size)])</f>
        <v>394468889</v>
      </c>
      <c r="D42" s="3">
        <f>AVERAGE(Table41[Revenj (size)])</f>
        <v>394428872</v>
      </c>
      <c r="E42" s="3">
        <f>AVERAGE(Table41[fastJSON (size)])</f>
        <v>394428889</v>
      </c>
      <c r="F42" s="3">
        <f>AVERAGE(Table41[Service Stack (size)])</f>
        <v>394428889</v>
      </c>
      <c r="G42" s="2">
        <f>AVERAGE(Table41[Jil (size)])</f>
        <v>394428889</v>
      </c>
      <c r="H42" s="2">
        <f>AVERAGE(Table41[NetJSON (size)])</f>
        <v>394428872</v>
      </c>
      <c r="I42" s="2">
        <f>AVERAGE(Table41[Jackson (size)])</f>
        <v>394468883</v>
      </c>
      <c r="J42" s="2">
        <f>AVERAGE(Table41[DSL Platform Java (size)])</f>
        <v>394468868</v>
      </c>
      <c r="K42" s="2">
        <f>AVERAGE(Table41[Genson (size)])</f>
        <v>394468889</v>
      </c>
      <c r="L42" s="2">
        <f>AVERAGE(Table41[Boon (size)])</f>
        <v>394468875</v>
      </c>
      <c r="M42" s="2">
        <f>AVERAGE(Table41[Alibaba (size)])</f>
        <v>394448889</v>
      </c>
      <c r="N42" s="2">
        <f>AVERAGE(Table41[Gson (size)])</f>
        <v>394468889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DEVSQ(Table41[Newtonsoft])</f>
        <v>127838</v>
      </c>
      <c r="D47" s="2">
        <f>DEVSQ(Table41[Revenj])</f>
        <v>467224</v>
      </c>
      <c r="E47" s="2">
        <f>DEVSQ(Table41[fastJSON])</f>
        <v>156741.20000000001</v>
      </c>
      <c r="F47" s="2">
        <f>DEVSQ(Table41[Service Stack])</f>
        <v>199707.19999999995</v>
      </c>
      <c r="G47" s="2">
        <f>DEVSQ(Table41[Jil])</f>
        <v>133700.79999999999</v>
      </c>
      <c r="H47" s="2">
        <f>DEVSQ(Table41[NetJSON])</f>
        <v>477034</v>
      </c>
      <c r="I47" s="2">
        <f>DEVSQ(Table41[Jackson])</f>
        <v>4945162</v>
      </c>
      <c r="J47" s="2">
        <f>DEVSQ(Table41[DSL Platform Java])</f>
        <v>16107.2</v>
      </c>
      <c r="K47" s="2">
        <f>DEVSQ(Table41[Genson])</f>
        <v>421064.80000000005</v>
      </c>
      <c r="L47" s="2">
        <f>DEVSQ(Table41[Boon])</f>
        <v>1001406.7999999999</v>
      </c>
      <c r="M47" s="2">
        <f>DEVSQ(Table41[Alibaba])</f>
        <v>779686</v>
      </c>
      <c r="N47" s="2">
        <f>DEVSQ(Table41[Gson])</f>
        <v>1199550</v>
      </c>
      <c r="O47" s="2"/>
      <c r="P47" s="2"/>
      <c r="Q47" s="2"/>
    </row>
    <row r="48" spans="2:17" x14ac:dyDescent="0.25">
      <c r="B48" t="s">
        <v>25</v>
      </c>
      <c r="C48" s="2">
        <f>DEVSQ(Table43[Newtonsoft])</f>
        <v>121317.19999999998</v>
      </c>
      <c r="D48" s="2">
        <f>DEVSQ(Table43[Revenj])</f>
        <v>50782.80000000001</v>
      </c>
      <c r="E48" s="2">
        <f>DEVSQ(Table43[fastJSON])</f>
        <v>249956.80000000002</v>
      </c>
      <c r="F48" s="2">
        <f>DEVSQ(Table43[Service Stack])</f>
        <v>266484</v>
      </c>
      <c r="G48" s="2">
        <f>DEVSQ(Table43[Jil])</f>
        <v>676827.2</v>
      </c>
      <c r="H48" s="2">
        <f>DEVSQ(Table43[NetJSON])</f>
        <v>106300</v>
      </c>
      <c r="I48" s="2">
        <f>DEVSQ(Table43[Jackson])</f>
        <v>7705498.7999999989</v>
      </c>
      <c r="J48" s="2">
        <f>DEVSQ(Table43[DSL Platform Java])</f>
        <v>622791.19999999995</v>
      </c>
      <c r="K48" s="2">
        <f>DEVSQ(Table43[Genson])</f>
        <v>8209109.1999999993</v>
      </c>
      <c r="L48" s="2">
        <f>DEVSQ(Table43[Boon])</f>
        <v>7991750.7999999989</v>
      </c>
      <c r="M48" s="2">
        <f>DEVSQ(Table43[Alibaba])</f>
        <v>6226030.7999999998</v>
      </c>
      <c r="N48" s="2">
        <f>DEVSQ(Table43[Gson])</f>
        <v>4846806.8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4844</v>
      </c>
      <c r="C52">
        <v>4950</v>
      </c>
      <c r="D52">
        <v>5237</v>
      </c>
      <c r="E52">
        <v>5031</v>
      </c>
      <c r="F52">
        <v>5047</v>
      </c>
      <c r="G52">
        <v>5100</v>
      </c>
      <c r="H52">
        <v>4309</v>
      </c>
      <c r="I52">
        <v>4320</v>
      </c>
      <c r="J52">
        <v>4461</v>
      </c>
      <c r="K52">
        <v>4356</v>
      </c>
      <c r="L52">
        <v>4387</v>
      </c>
      <c r="M52">
        <v>4345</v>
      </c>
    </row>
    <row r="53" spans="2:25" x14ac:dyDescent="0.25">
      <c r="B53">
        <v>4812</v>
      </c>
      <c r="C53">
        <v>5035</v>
      </c>
      <c r="D53">
        <v>5426</v>
      </c>
      <c r="E53">
        <v>5040</v>
      </c>
      <c r="F53">
        <v>5039</v>
      </c>
      <c r="G53">
        <v>5081</v>
      </c>
      <c r="H53">
        <v>4809</v>
      </c>
      <c r="I53">
        <v>4293</v>
      </c>
      <c r="J53">
        <v>4292</v>
      </c>
      <c r="K53">
        <v>4326</v>
      </c>
      <c r="L53">
        <v>4314</v>
      </c>
      <c r="M53">
        <v>4305</v>
      </c>
    </row>
    <row r="54" spans="2:25" x14ac:dyDescent="0.25">
      <c r="B54">
        <v>4905</v>
      </c>
      <c r="C54">
        <v>5066</v>
      </c>
      <c r="D54">
        <v>5700</v>
      </c>
      <c r="E54">
        <v>5078</v>
      </c>
      <c r="F54">
        <v>5026</v>
      </c>
      <c r="G54">
        <v>5266</v>
      </c>
      <c r="H54">
        <v>4461</v>
      </c>
      <c r="I54">
        <v>4305</v>
      </c>
      <c r="J54">
        <v>4349</v>
      </c>
      <c r="K54">
        <v>4323</v>
      </c>
      <c r="L54">
        <v>4315</v>
      </c>
      <c r="M54">
        <v>4360</v>
      </c>
    </row>
    <row r="55" spans="2:25" x14ac:dyDescent="0.25">
      <c r="B55">
        <v>4855</v>
      </c>
      <c r="C55">
        <v>4972</v>
      </c>
      <c r="D55">
        <v>5223</v>
      </c>
      <c r="E55">
        <v>5033</v>
      </c>
      <c r="F55">
        <v>5137</v>
      </c>
      <c r="G55">
        <v>5169</v>
      </c>
      <c r="H55">
        <v>4298</v>
      </c>
      <c r="I55">
        <v>4301</v>
      </c>
      <c r="J55">
        <v>4289</v>
      </c>
      <c r="K55">
        <v>4309</v>
      </c>
      <c r="L55">
        <v>4347</v>
      </c>
      <c r="M55">
        <v>4301</v>
      </c>
    </row>
    <row r="56" spans="2:25" x14ac:dyDescent="0.25">
      <c r="B56">
        <v>4844</v>
      </c>
      <c r="C56">
        <v>5024</v>
      </c>
      <c r="D56">
        <v>5237</v>
      </c>
      <c r="E56">
        <v>5020</v>
      </c>
      <c r="F56">
        <v>5039</v>
      </c>
      <c r="G56">
        <v>5090</v>
      </c>
      <c r="H56">
        <v>4298</v>
      </c>
      <c r="I56">
        <v>4309</v>
      </c>
      <c r="J56">
        <v>4308</v>
      </c>
      <c r="K56">
        <v>4350</v>
      </c>
      <c r="L56">
        <v>4748</v>
      </c>
      <c r="M56">
        <v>4296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37181</v>
      </c>
      <c r="C60">
        <v>20792</v>
      </c>
      <c r="D60">
        <v>32789</v>
      </c>
      <c r="E60">
        <v>50341</v>
      </c>
      <c r="F60">
        <v>28422</v>
      </c>
      <c r="G60">
        <v>22876</v>
      </c>
      <c r="H60">
        <v>13053</v>
      </c>
      <c r="I60">
        <v>8771</v>
      </c>
      <c r="J60">
        <v>40503</v>
      </c>
      <c r="K60">
        <v>20687</v>
      </c>
      <c r="L60">
        <v>11981</v>
      </c>
      <c r="M60">
        <v>19500</v>
      </c>
      <c r="N60">
        <v>394468889</v>
      </c>
      <c r="O60">
        <v>394428872</v>
      </c>
      <c r="P60">
        <v>394428889</v>
      </c>
      <c r="Q60">
        <v>394428889</v>
      </c>
      <c r="R60">
        <v>394428889</v>
      </c>
      <c r="S60">
        <v>394428872</v>
      </c>
      <c r="T60">
        <v>394468883</v>
      </c>
      <c r="U60">
        <v>394468868</v>
      </c>
      <c r="V60">
        <v>394468889</v>
      </c>
      <c r="W60">
        <v>394468875</v>
      </c>
      <c r="X60">
        <v>394448889</v>
      </c>
      <c r="Y60">
        <v>394468889</v>
      </c>
    </row>
    <row r="61" spans="2:25" x14ac:dyDescent="0.25">
      <c r="B61">
        <v>37348</v>
      </c>
      <c r="C61">
        <v>20974</v>
      </c>
      <c r="D61">
        <v>32867</v>
      </c>
      <c r="E61">
        <v>49784</v>
      </c>
      <c r="F61">
        <v>28432</v>
      </c>
      <c r="G61">
        <v>22005</v>
      </c>
      <c r="H61">
        <v>13339</v>
      </c>
      <c r="I61">
        <v>8830</v>
      </c>
      <c r="J61">
        <v>40801</v>
      </c>
      <c r="K61">
        <v>20752</v>
      </c>
      <c r="L61">
        <v>12019</v>
      </c>
      <c r="M61">
        <v>19323</v>
      </c>
      <c r="N61">
        <v>394468889</v>
      </c>
      <c r="O61">
        <v>394428872</v>
      </c>
      <c r="P61">
        <v>394428889</v>
      </c>
      <c r="Q61">
        <v>394428889</v>
      </c>
      <c r="R61">
        <v>394428889</v>
      </c>
      <c r="S61">
        <v>394428872</v>
      </c>
      <c r="T61">
        <v>394468883</v>
      </c>
      <c r="U61">
        <v>394468868</v>
      </c>
      <c r="V61">
        <v>394468889</v>
      </c>
      <c r="W61">
        <v>394468875</v>
      </c>
      <c r="X61">
        <v>394448889</v>
      </c>
      <c r="Y61">
        <v>394468889</v>
      </c>
    </row>
    <row r="62" spans="2:25" x14ac:dyDescent="0.25">
      <c r="B62">
        <v>37456</v>
      </c>
      <c r="C62">
        <v>21584</v>
      </c>
      <c r="D62">
        <v>32886</v>
      </c>
      <c r="E62">
        <v>49838</v>
      </c>
      <c r="F62">
        <v>28209</v>
      </c>
      <c r="G62">
        <v>22129</v>
      </c>
      <c r="H62">
        <v>14118</v>
      </c>
      <c r="I62">
        <v>8816</v>
      </c>
      <c r="J62">
        <v>40741</v>
      </c>
      <c r="K62">
        <v>20233</v>
      </c>
      <c r="L62">
        <v>11757</v>
      </c>
      <c r="M62">
        <v>19312</v>
      </c>
      <c r="N62">
        <v>394468889</v>
      </c>
      <c r="O62">
        <v>394428872</v>
      </c>
      <c r="P62">
        <v>394428889</v>
      </c>
      <c r="Q62">
        <v>394428889</v>
      </c>
      <c r="R62">
        <v>394428889</v>
      </c>
      <c r="S62">
        <v>394428872</v>
      </c>
      <c r="T62">
        <v>394468883</v>
      </c>
      <c r="U62">
        <v>394468868</v>
      </c>
      <c r="V62">
        <v>394468889</v>
      </c>
      <c r="W62">
        <v>394468875</v>
      </c>
      <c r="X62">
        <v>394448889</v>
      </c>
      <c r="Y62">
        <v>394468889</v>
      </c>
    </row>
    <row r="63" spans="2:25" x14ac:dyDescent="0.25">
      <c r="B63">
        <v>37404</v>
      </c>
      <c r="C63">
        <v>20862</v>
      </c>
      <c r="D63">
        <v>33296</v>
      </c>
      <c r="E63">
        <v>49892</v>
      </c>
      <c r="F63">
        <v>28586</v>
      </c>
      <c r="G63">
        <v>22154</v>
      </c>
      <c r="H63">
        <v>15772</v>
      </c>
      <c r="I63">
        <v>8804</v>
      </c>
      <c r="J63">
        <v>40511</v>
      </c>
      <c r="K63">
        <v>20856</v>
      </c>
      <c r="L63">
        <v>12912</v>
      </c>
      <c r="M63">
        <v>18271</v>
      </c>
      <c r="N63">
        <v>394468889</v>
      </c>
      <c r="O63">
        <v>394428872</v>
      </c>
      <c r="P63">
        <v>394428889</v>
      </c>
      <c r="Q63">
        <v>394428889</v>
      </c>
      <c r="R63">
        <v>394428889</v>
      </c>
      <c r="S63">
        <v>394428872</v>
      </c>
      <c r="T63">
        <v>394468883</v>
      </c>
      <c r="U63">
        <v>394468868</v>
      </c>
      <c r="V63">
        <v>394468889</v>
      </c>
      <c r="W63">
        <v>394468875</v>
      </c>
      <c r="X63">
        <v>394448889</v>
      </c>
      <c r="Y63">
        <v>394468889</v>
      </c>
    </row>
    <row r="64" spans="2:25" x14ac:dyDescent="0.25">
      <c r="B64">
        <v>37021</v>
      </c>
      <c r="C64">
        <v>21358</v>
      </c>
      <c r="D64">
        <v>32984</v>
      </c>
      <c r="E64">
        <v>49892</v>
      </c>
      <c r="F64">
        <v>28690</v>
      </c>
      <c r="G64">
        <v>22391</v>
      </c>
      <c r="H64">
        <v>13298</v>
      </c>
      <c r="I64">
        <v>8672</v>
      </c>
      <c r="J64">
        <v>39978</v>
      </c>
      <c r="K64">
        <v>19648</v>
      </c>
      <c r="L64">
        <v>12176</v>
      </c>
      <c r="M64">
        <v>19669</v>
      </c>
      <c r="N64">
        <v>394468889</v>
      </c>
      <c r="O64">
        <v>394428872</v>
      </c>
      <c r="P64">
        <v>394428889</v>
      </c>
      <c r="Q64">
        <v>394428889</v>
      </c>
      <c r="R64">
        <v>394428889</v>
      </c>
      <c r="S64">
        <v>394428872</v>
      </c>
      <c r="T64">
        <v>394468883</v>
      </c>
      <c r="U64">
        <v>394468868</v>
      </c>
      <c r="V64">
        <v>394468889</v>
      </c>
      <c r="W64">
        <v>394468875</v>
      </c>
      <c r="X64">
        <v>394448889</v>
      </c>
      <c r="Y64">
        <v>394468889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99775</v>
      </c>
      <c r="C68">
        <v>34852</v>
      </c>
      <c r="D68">
        <v>90515</v>
      </c>
      <c r="E68">
        <v>98184</v>
      </c>
      <c r="F68">
        <v>50859</v>
      </c>
      <c r="G68">
        <v>39205</v>
      </c>
      <c r="H68">
        <v>25809</v>
      </c>
      <c r="I68">
        <v>12790</v>
      </c>
      <c r="J68">
        <v>81323</v>
      </c>
      <c r="K68">
        <v>89182</v>
      </c>
      <c r="L68">
        <v>28658</v>
      </c>
      <c r="M68">
        <v>42468</v>
      </c>
    </row>
    <row r="69" spans="2:13" x14ac:dyDescent="0.25">
      <c r="B69">
        <v>99589</v>
      </c>
      <c r="C69">
        <v>35030</v>
      </c>
      <c r="D69">
        <v>90990</v>
      </c>
      <c r="E69">
        <v>98624</v>
      </c>
      <c r="F69">
        <v>50040</v>
      </c>
      <c r="G69">
        <v>39477</v>
      </c>
      <c r="H69">
        <v>24810</v>
      </c>
      <c r="I69">
        <v>11830</v>
      </c>
      <c r="J69">
        <v>84454</v>
      </c>
      <c r="K69">
        <v>90119</v>
      </c>
      <c r="L69">
        <v>29995</v>
      </c>
      <c r="M69">
        <v>40245</v>
      </c>
    </row>
    <row r="70" spans="2:13" x14ac:dyDescent="0.25">
      <c r="B70">
        <v>99406</v>
      </c>
      <c r="C70">
        <v>35149</v>
      </c>
      <c r="D70">
        <v>90908</v>
      </c>
      <c r="E70">
        <v>98532</v>
      </c>
      <c r="F70">
        <v>49843</v>
      </c>
      <c r="G70">
        <v>39583</v>
      </c>
      <c r="H70">
        <v>27778</v>
      </c>
      <c r="I70">
        <v>12042</v>
      </c>
      <c r="J70">
        <v>80955</v>
      </c>
      <c r="K70">
        <v>89352</v>
      </c>
      <c r="L70">
        <v>30647</v>
      </c>
      <c r="M70">
        <v>40111</v>
      </c>
    </row>
    <row r="71" spans="2:13" x14ac:dyDescent="0.25">
      <c r="B71">
        <v>99538</v>
      </c>
      <c r="C71">
        <v>35059</v>
      </c>
      <c r="D71">
        <v>91114</v>
      </c>
      <c r="E71">
        <v>97988</v>
      </c>
      <c r="F71">
        <v>50241</v>
      </c>
      <c r="G71">
        <v>39404</v>
      </c>
      <c r="H71">
        <v>25332</v>
      </c>
      <c r="I71">
        <v>11833</v>
      </c>
      <c r="J71">
        <v>81928</v>
      </c>
      <c r="K71">
        <v>87645</v>
      </c>
      <c r="L71">
        <v>27421</v>
      </c>
      <c r="M71">
        <v>39654</v>
      </c>
    </row>
    <row r="72" spans="2:13" x14ac:dyDescent="0.25">
      <c r="B72">
        <v>99830</v>
      </c>
      <c r="C72">
        <v>35096</v>
      </c>
      <c r="D72">
        <v>90634</v>
      </c>
      <c r="E72">
        <v>98297</v>
      </c>
      <c r="F72">
        <v>49899</v>
      </c>
      <c r="G72">
        <v>39611</v>
      </c>
      <c r="H72">
        <v>27757</v>
      </c>
      <c r="I72">
        <v>12082</v>
      </c>
      <c r="J72">
        <v>81203</v>
      </c>
      <c r="K72">
        <v>86633</v>
      </c>
      <c r="L72">
        <v>28948</v>
      </c>
      <c r="M72">
        <v>40971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72"/>
  <sheetViews>
    <sheetView workbookViewId="0">
      <selection activeCell="C70" sqref="C70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42</v>
      </c>
    </row>
    <row r="37" spans="2:17" x14ac:dyDescent="0.25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AVERAGE(Table47[Newtonsoft])</f>
        <v>107.6</v>
      </c>
      <c r="D38" s="2">
        <f>AVERAGE(Table47[Revenj])</f>
        <v>108.8</v>
      </c>
      <c r="E38" s="2">
        <f>AVERAGE(Table47[fastJSON])</f>
        <v>106.6</v>
      </c>
      <c r="F38" s="2">
        <f>AVERAGE(Table47[Service Stack])</f>
        <v>105.8</v>
      </c>
      <c r="G38" s="2">
        <f>AVERAGE(Table47[Jil])</f>
        <v>106.2</v>
      </c>
      <c r="H38" s="2">
        <f>AVERAGE(Table47[NetJSON])</f>
        <v>105.6</v>
      </c>
      <c r="I38" s="2">
        <f>AVERAGE(Table47[Jackson])</f>
        <v>258.8</v>
      </c>
      <c r="J38" s="2">
        <f>AVERAGE(Table47[DSL Platform Java])</f>
        <v>217.4</v>
      </c>
      <c r="K38" s="2">
        <f>AVERAGE(Table47[Genson])</f>
        <v>257.60000000000002</v>
      </c>
      <c r="L38" s="2">
        <f>AVERAGE(Table47[Boon])</f>
        <v>266.39999999999998</v>
      </c>
      <c r="M38" s="2">
        <f>AVERAGE(Table47[Alibaba])</f>
        <v>268</v>
      </c>
      <c r="N38" s="2">
        <f>AVERAGE(Table47[Gson])</f>
        <v>265.60000000000002</v>
      </c>
      <c r="O38" s="2"/>
      <c r="P38" s="2"/>
      <c r="Q38" s="2"/>
    </row>
    <row r="39" spans="2:17" x14ac:dyDescent="0.25">
      <c r="B39" t="s">
        <v>0</v>
      </c>
      <c r="C39" s="2">
        <f>AVERAGE(Table46[Newtonsoft]) - C38</f>
        <v>303.60000000000002</v>
      </c>
      <c r="D39" s="2">
        <f>AVERAGE(Table46[Revenj]) - D38</f>
        <v>113.00000000000001</v>
      </c>
      <c r="E39" s="2">
        <f>AVERAGE(Table46[fastJSON]) - E38</f>
        <v>344.20000000000005</v>
      </c>
      <c r="F39" s="2">
        <f>AVERAGE(Table46[Service Stack]) - F38</f>
        <v>519.6</v>
      </c>
      <c r="G39" s="2">
        <f>AVERAGE(Table46[Jil]) - G38</f>
        <v>216.40000000000003</v>
      </c>
      <c r="H39" s="2">
        <f>AVERAGE(Table46[NetJSON]) - H38</f>
        <v>213.20000000000002</v>
      </c>
      <c r="I39" s="2">
        <f>AVERAGE(Table46[Jackson]) - I38</f>
        <v>301.99999999999994</v>
      </c>
      <c r="J39" s="2">
        <f>AVERAGE(Table46[DSL Platform Java]) - J38</f>
        <v>148.4</v>
      </c>
      <c r="K39" s="2">
        <f>AVERAGE(Table46[Genson]) - K38</f>
        <v>663.8</v>
      </c>
      <c r="L39" s="2">
        <f>AVERAGE(Table46[Boon]) - L38</f>
        <v>382.6</v>
      </c>
      <c r="M39" s="4" t="s">
        <v>53</v>
      </c>
      <c r="N39" s="2">
        <f>AVERAGE(Table46[Gson]) - N38</f>
        <v>546.19999999999993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852</v>
      </c>
      <c r="D40" s="2">
        <f t="shared" si="0"/>
        <v>214.2</v>
      </c>
      <c r="E40" s="2">
        <f t="shared" ref="E40" si="1">E41 - E39 - E38</f>
        <v>749.19999999999993</v>
      </c>
      <c r="F40" s="2">
        <f t="shared" si="0"/>
        <v>777.00000000000011</v>
      </c>
      <c r="G40" s="2">
        <f t="shared" si="0"/>
        <v>325.19999999999993</v>
      </c>
      <c r="H40" s="2">
        <f t="shared" si="0"/>
        <v>314.39999999999998</v>
      </c>
      <c r="I40" s="2">
        <f t="shared" ref="I40" si="2">I41 - I39 - I38</f>
        <v>530</v>
      </c>
      <c r="J40" s="2">
        <f t="shared" ref="J40" si="3">J41 - J39 - J38</f>
        <v>101.6</v>
      </c>
      <c r="K40" s="2">
        <f t="shared" ref="K40:L40" si="4">K41 - K39 - K38</f>
        <v>440.80000000000007</v>
      </c>
      <c r="L40" s="2" t="e">
        <f t="shared" si="4"/>
        <v>#DIV/0!</v>
      </c>
      <c r="M40" s="2" t="e">
        <f t="shared" ref="M40" si="5">M41 - M39 - M38</f>
        <v>#VALUE!</v>
      </c>
      <c r="N40" s="2">
        <f t="shared" ref="N40" si="6">N41 - N39 - N38</f>
        <v>888.99999999999989</v>
      </c>
      <c r="O40" s="2"/>
      <c r="P40" s="2"/>
      <c r="Q40" s="2"/>
    </row>
    <row r="41" spans="2:17" x14ac:dyDescent="0.25">
      <c r="B41" t="s">
        <v>25</v>
      </c>
      <c r="C41" s="2">
        <f>AVERAGE(Table48[Newtonsoft])</f>
        <v>1263.2</v>
      </c>
      <c r="D41" s="2">
        <f>AVERAGE(Table48[Revenj])</f>
        <v>436</v>
      </c>
      <c r="E41" s="2">
        <f>AVERAGE(Table48[fastJSON])</f>
        <v>1200</v>
      </c>
      <c r="F41" s="2">
        <f>AVERAGE(Table48[Service Stack])</f>
        <v>1402.4</v>
      </c>
      <c r="G41" s="2">
        <f>AVERAGE(Table48[Jil])</f>
        <v>647.79999999999995</v>
      </c>
      <c r="H41" s="2">
        <f>AVERAGE(Table48[NetJSON])</f>
        <v>633.20000000000005</v>
      </c>
      <c r="I41" s="2">
        <f>AVERAGE(Table48[Jackson])</f>
        <v>1090.8</v>
      </c>
      <c r="J41" s="2">
        <f>AVERAGE(Table48[DSL Platform Java])</f>
        <v>467.4</v>
      </c>
      <c r="K41" s="2">
        <f>AVERAGE(Table48[Genson])</f>
        <v>1362.2</v>
      </c>
      <c r="L41" s="2" t="e">
        <f>AVERAGE(Table48[Boon])</f>
        <v>#DIV/0!</v>
      </c>
      <c r="M41" s="4" t="s">
        <v>53</v>
      </c>
      <c r="N41" s="2">
        <f>AVERAGE(Table48[Gson])</f>
        <v>1700.8</v>
      </c>
      <c r="O41" s="2"/>
      <c r="P41" s="2"/>
      <c r="Q41" s="2"/>
    </row>
    <row r="42" spans="2:17" x14ac:dyDescent="0.25">
      <c r="B42" t="s">
        <v>4</v>
      </c>
      <c r="C42" s="3">
        <f>AVERAGE(Table46[Newtonsoft (size)])</f>
        <v>11938890</v>
      </c>
      <c r="D42" s="3">
        <f>AVERAGE(Table46[Revenj (size)])</f>
        <v>10188890</v>
      </c>
      <c r="E42" s="3">
        <f>AVERAGE(Table46[fastJSON (size)])</f>
        <v>10738890</v>
      </c>
      <c r="F42" s="3">
        <f>AVERAGE(Table46[Service Stack (size)])</f>
        <v>11838890</v>
      </c>
      <c r="G42" s="2">
        <f>AVERAGE(Table46[Jil (size)])</f>
        <v>12238890</v>
      </c>
      <c r="H42" s="2">
        <f>AVERAGE(Table46[NetJSON (size)])</f>
        <v>11188890</v>
      </c>
      <c r="I42" s="2">
        <f>AVERAGE(Table46[Jackson (size)])</f>
        <v>10188890</v>
      </c>
      <c r="J42" s="2">
        <f>AVERAGE(Table46[DSL Platform Java (size)])</f>
        <v>10188890</v>
      </c>
      <c r="K42" s="2">
        <f>AVERAGE(Table46[Genson (size)])</f>
        <v>10938890</v>
      </c>
      <c r="L42" s="2">
        <f>AVERAGE(Table46[Boon (size)])</f>
        <v>8988890</v>
      </c>
      <c r="M42" s="4" t="s">
        <v>53</v>
      </c>
      <c r="N42" s="2">
        <f>AVERAGE(Table46[Gson (size)])</f>
        <v>10938890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DEVSQ(Table46[Newtonsoft])</f>
        <v>106.8</v>
      </c>
      <c r="D47" s="2">
        <f>DEVSQ(Table46[Revenj])</f>
        <v>8.8000000000000007</v>
      </c>
      <c r="E47" s="2">
        <f>DEVSQ(Table46[fastJSON])</f>
        <v>18.8</v>
      </c>
      <c r="F47" s="2">
        <f>DEVSQ(Table46[Service Stack])</f>
        <v>43.2</v>
      </c>
      <c r="G47" s="2">
        <f>DEVSQ(Table46[Jil])</f>
        <v>67.2</v>
      </c>
      <c r="H47" s="2">
        <f>DEVSQ(Table46[NetJSON])</f>
        <v>50.8</v>
      </c>
      <c r="I47" s="2">
        <f>DEVSQ(Table46[Jackson])</f>
        <v>72.800000000000011</v>
      </c>
      <c r="J47" s="2">
        <f>DEVSQ(Table46[DSL Platform Java])</f>
        <v>112.79999999999998</v>
      </c>
      <c r="K47" s="2">
        <f>DEVSQ(Table46[Genson])</f>
        <v>149.19999999999999</v>
      </c>
      <c r="L47" s="2">
        <f>DEVSQ(Table46[Boon])</f>
        <v>530</v>
      </c>
      <c r="M47" s="2">
        <f>DEVSQ(Table46[Alibaba])</f>
        <v>1229.2</v>
      </c>
      <c r="N47" s="2">
        <f>DEVSQ(Table46[Gson])</f>
        <v>402.8</v>
      </c>
      <c r="O47" s="2"/>
      <c r="P47" s="2"/>
      <c r="Q47" s="2"/>
    </row>
    <row r="48" spans="2:17" x14ac:dyDescent="0.25">
      <c r="B48" t="s">
        <v>25</v>
      </c>
      <c r="C48" s="2">
        <f>DEVSQ(Table48[Newtonsoft])</f>
        <v>1828.8</v>
      </c>
      <c r="D48" s="2">
        <f>DEVSQ(Table48[Revenj])</f>
        <v>34</v>
      </c>
      <c r="E48" s="2">
        <f>DEVSQ(Table48[fastJSON])</f>
        <v>134</v>
      </c>
      <c r="F48" s="2">
        <f>DEVSQ(Table48[Service Stack])</f>
        <v>271.20000000000005</v>
      </c>
      <c r="G48" s="2">
        <f>DEVSQ(Table48[Jil])</f>
        <v>158.80000000000001</v>
      </c>
      <c r="H48" s="2">
        <f>DEVSQ(Table48[NetJSON])</f>
        <v>74.800000000000011</v>
      </c>
      <c r="I48" s="2">
        <f>DEVSQ(Table48[Jackson])</f>
        <v>2374.7999999999997</v>
      </c>
      <c r="J48" s="2">
        <f>DEVSQ(Table48[DSL Platform Java])</f>
        <v>567.20000000000005</v>
      </c>
      <c r="K48" s="2">
        <f>DEVSQ(Table48[Genson])</f>
        <v>772.8</v>
      </c>
      <c r="L48" s="2" t="e">
        <f>DEVSQ(Table48[Boon])</f>
        <v>#NUM!</v>
      </c>
      <c r="M48" s="2">
        <f>DEVSQ(Table48[Alibaba])</f>
        <v>3045.2</v>
      </c>
      <c r="N48" s="2">
        <f>DEVSQ(Table48[Gson])</f>
        <v>1774.7999999999997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107</v>
      </c>
      <c r="C52">
        <v>108</v>
      </c>
      <c r="D52">
        <v>105</v>
      </c>
      <c r="E52">
        <v>105</v>
      </c>
      <c r="F52">
        <v>106</v>
      </c>
      <c r="G52">
        <v>106</v>
      </c>
      <c r="H52">
        <v>261</v>
      </c>
      <c r="I52">
        <v>218</v>
      </c>
      <c r="J52">
        <v>257</v>
      </c>
      <c r="K52">
        <v>266</v>
      </c>
      <c r="L52">
        <v>269</v>
      </c>
      <c r="M52">
        <v>265</v>
      </c>
    </row>
    <row r="53" spans="2:25" x14ac:dyDescent="0.25">
      <c r="B53">
        <v>108</v>
      </c>
      <c r="C53">
        <v>110</v>
      </c>
      <c r="D53">
        <v>106</v>
      </c>
      <c r="E53">
        <v>106</v>
      </c>
      <c r="F53">
        <v>106</v>
      </c>
      <c r="G53">
        <v>105</v>
      </c>
      <c r="H53">
        <v>257</v>
      </c>
      <c r="I53">
        <v>217</v>
      </c>
      <c r="J53">
        <v>258</v>
      </c>
      <c r="K53">
        <v>267</v>
      </c>
      <c r="L53">
        <v>268</v>
      </c>
      <c r="M53">
        <v>264</v>
      </c>
    </row>
    <row r="54" spans="2:25" x14ac:dyDescent="0.25">
      <c r="B54">
        <v>107</v>
      </c>
      <c r="C54">
        <v>108</v>
      </c>
      <c r="D54">
        <v>106</v>
      </c>
      <c r="E54">
        <v>106</v>
      </c>
      <c r="F54">
        <v>106</v>
      </c>
      <c r="G54">
        <v>106</v>
      </c>
      <c r="H54">
        <v>258</v>
      </c>
      <c r="I54">
        <v>216</v>
      </c>
      <c r="J54">
        <v>258</v>
      </c>
      <c r="K54">
        <v>266</v>
      </c>
      <c r="L54">
        <v>267</v>
      </c>
      <c r="M54">
        <v>267</v>
      </c>
    </row>
    <row r="55" spans="2:25" x14ac:dyDescent="0.25">
      <c r="B55">
        <v>108</v>
      </c>
      <c r="C55">
        <v>109</v>
      </c>
      <c r="D55">
        <v>110</v>
      </c>
      <c r="E55">
        <v>106</v>
      </c>
      <c r="F55">
        <v>106</v>
      </c>
      <c r="G55">
        <v>106</v>
      </c>
      <c r="H55">
        <v>258</v>
      </c>
      <c r="I55">
        <v>218</v>
      </c>
      <c r="J55">
        <v>257</v>
      </c>
      <c r="K55">
        <v>266</v>
      </c>
      <c r="L55">
        <v>268</v>
      </c>
      <c r="M55">
        <v>266</v>
      </c>
    </row>
    <row r="56" spans="2:25" x14ac:dyDescent="0.25">
      <c r="B56">
        <v>108</v>
      </c>
      <c r="C56">
        <v>109</v>
      </c>
      <c r="D56">
        <v>106</v>
      </c>
      <c r="E56">
        <v>106</v>
      </c>
      <c r="F56">
        <v>107</v>
      </c>
      <c r="G56">
        <v>105</v>
      </c>
      <c r="H56">
        <v>260</v>
      </c>
      <c r="I56">
        <v>218</v>
      </c>
      <c r="J56">
        <v>258</v>
      </c>
      <c r="K56">
        <v>267</v>
      </c>
      <c r="L56">
        <v>268</v>
      </c>
      <c r="M56">
        <v>266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408</v>
      </c>
      <c r="C60">
        <v>222</v>
      </c>
      <c r="D60">
        <v>450</v>
      </c>
      <c r="E60">
        <v>626</v>
      </c>
      <c r="F60">
        <v>319</v>
      </c>
      <c r="G60">
        <v>319</v>
      </c>
      <c r="H60">
        <v>556</v>
      </c>
      <c r="I60">
        <v>360</v>
      </c>
      <c r="J60">
        <v>923</v>
      </c>
      <c r="K60">
        <v>667</v>
      </c>
      <c r="L60">
        <v>2634</v>
      </c>
      <c r="M60">
        <v>825</v>
      </c>
      <c r="N60">
        <v>11938890</v>
      </c>
      <c r="O60">
        <v>10188890</v>
      </c>
      <c r="P60">
        <v>10738890</v>
      </c>
      <c r="Q60">
        <v>11838890</v>
      </c>
      <c r="R60">
        <v>12238890</v>
      </c>
      <c r="S60">
        <v>11188890</v>
      </c>
      <c r="T60">
        <v>10188890</v>
      </c>
      <c r="U60">
        <v>10188890</v>
      </c>
      <c r="V60">
        <v>10938890</v>
      </c>
      <c r="W60">
        <v>8988890</v>
      </c>
      <c r="X60">
        <v>195987050</v>
      </c>
      <c r="Y60">
        <v>10938890</v>
      </c>
    </row>
    <row r="61" spans="2:25" x14ac:dyDescent="0.25">
      <c r="B61">
        <v>407</v>
      </c>
      <c r="C61">
        <v>221</v>
      </c>
      <c r="D61">
        <v>448</v>
      </c>
      <c r="E61">
        <v>626</v>
      </c>
      <c r="F61">
        <v>327</v>
      </c>
      <c r="G61">
        <v>319</v>
      </c>
      <c r="H61">
        <v>567</v>
      </c>
      <c r="I61">
        <v>370</v>
      </c>
      <c r="J61">
        <v>930</v>
      </c>
      <c r="K61">
        <v>652</v>
      </c>
      <c r="L61">
        <v>2595</v>
      </c>
      <c r="M61">
        <v>809</v>
      </c>
      <c r="N61">
        <v>11938890</v>
      </c>
      <c r="O61">
        <v>10188890</v>
      </c>
      <c r="P61">
        <v>10738890</v>
      </c>
      <c r="Q61">
        <v>11838890</v>
      </c>
      <c r="R61">
        <v>12238890</v>
      </c>
      <c r="S61">
        <v>11188890</v>
      </c>
      <c r="T61">
        <v>10188890</v>
      </c>
      <c r="U61">
        <v>10188890</v>
      </c>
      <c r="V61">
        <v>10938890</v>
      </c>
      <c r="W61">
        <v>8988890</v>
      </c>
      <c r="X61">
        <v>195987050</v>
      </c>
      <c r="Y61">
        <v>10938890</v>
      </c>
    </row>
    <row r="62" spans="2:25" x14ac:dyDescent="0.25">
      <c r="B62">
        <v>411</v>
      </c>
      <c r="C62">
        <v>220</v>
      </c>
      <c r="D62">
        <v>453</v>
      </c>
      <c r="E62">
        <v>621</v>
      </c>
      <c r="F62">
        <v>327</v>
      </c>
      <c r="G62">
        <v>318</v>
      </c>
      <c r="H62">
        <v>563</v>
      </c>
      <c r="I62">
        <v>361</v>
      </c>
      <c r="J62">
        <v>916</v>
      </c>
      <c r="K62">
        <v>647</v>
      </c>
      <c r="L62">
        <v>2597</v>
      </c>
      <c r="M62">
        <v>810</v>
      </c>
      <c r="N62">
        <v>11938890</v>
      </c>
      <c r="O62">
        <v>10188890</v>
      </c>
      <c r="P62">
        <v>10738890</v>
      </c>
      <c r="Q62">
        <v>11838890</v>
      </c>
      <c r="R62">
        <v>12238890</v>
      </c>
      <c r="S62">
        <v>11188890</v>
      </c>
      <c r="T62">
        <v>10188890</v>
      </c>
      <c r="U62">
        <v>10188890</v>
      </c>
      <c r="V62">
        <v>10938890</v>
      </c>
      <c r="W62">
        <v>8988890</v>
      </c>
      <c r="X62">
        <v>195987050</v>
      </c>
      <c r="Y62">
        <v>10938890</v>
      </c>
    </row>
    <row r="63" spans="2:25" x14ac:dyDescent="0.25">
      <c r="B63">
        <v>410</v>
      </c>
      <c r="C63">
        <v>222</v>
      </c>
      <c r="D63">
        <v>453</v>
      </c>
      <c r="E63">
        <v>630</v>
      </c>
      <c r="F63">
        <v>319</v>
      </c>
      <c r="G63">
        <v>324</v>
      </c>
      <c r="H63">
        <v>559</v>
      </c>
      <c r="I63">
        <v>372</v>
      </c>
      <c r="J63">
        <v>923</v>
      </c>
      <c r="K63">
        <v>637</v>
      </c>
      <c r="L63">
        <v>2620</v>
      </c>
      <c r="M63">
        <v>817</v>
      </c>
      <c r="N63">
        <v>11938890</v>
      </c>
      <c r="O63">
        <v>10188890</v>
      </c>
      <c r="P63">
        <v>10738890</v>
      </c>
      <c r="Q63">
        <v>11838890</v>
      </c>
      <c r="R63">
        <v>12238890</v>
      </c>
      <c r="S63">
        <v>11188890</v>
      </c>
      <c r="T63">
        <v>10188890</v>
      </c>
      <c r="U63">
        <v>10188890</v>
      </c>
      <c r="V63">
        <v>10938890</v>
      </c>
      <c r="W63">
        <v>8988890</v>
      </c>
      <c r="X63">
        <v>195987050</v>
      </c>
      <c r="Y63">
        <v>10938890</v>
      </c>
    </row>
    <row r="64" spans="2:25" x14ac:dyDescent="0.25">
      <c r="B64">
        <v>420</v>
      </c>
      <c r="C64">
        <v>224</v>
      </c>
      <c r="D64">
        <v>450</v>
      </c>
      <c r="E64">
        <v>624</v>
      </c>
      <c r="F64">
        <v>321</v>
      </c>
      <c r="G64">
        <v>314</v>
      </c>
      <c r="H64">
        <v>559</v>
      </c>
      <c r="I64">
        <v>366</v>
      </c>
      <c r="J64">
        <v>915</v>
      </c>
      <c r="K64">
        <v>642</v>
      </c>
      <c r="L64">
        <v>2626</v>
      </c>
      <c r="M64">
        <v>798</v>
      </c>
      <c r="N64">
        <v>11938890</v>
      </c>
      <c r="O64">
        <v>10188890</v>
      </c>
      <c r="P64">
        <v>10738890</v>
      </c>
      <c r="Q64">
        <v>11838890</v>
      </c>
      <c r="R64">
        <v>12238890</v>
      </c>
      <c r="S64">
        <v>11188890</v>
      </c>
      <c r="T64">
        <v>10188890</v>
      </c>
      <c r="U64">
        <v>10188890</v>
      </c>
      <c r="V64">
        <v>10938890</v>
      </c>
      <c r="W64">
        <v>8988890</v>
      </c>
      <c r="X64">
        <v>195987050</v>
      </c>
      <c r="Y64">
        <v>10938890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1253</v>
      </c>
      <c r="C68">
        <v>436</v>
      </c>
      <c r="D68">
        <v>1198</v>
      </c>
      <c r="E68">
        <v>1415</v>
      </c>
      <c r="F68">
        <v>642</v>
      </c>
      <c r="G68">
        <v>640</v>
      </c>
      <c r="H68">
        <v>1110</v>
      </c>
      <c r="I68">
        <v>458</v>
      </c>
      <c r="J68">
        <v>1372</v>
      </c>
      <c r="L68">
        <v>5926</v>
      </c>
      <c r="M68">
        <v>1687</v>
      </c>
    </row>
    <row r="69" spans="2:13" x14ac:dyDescent="0.25">
      <c r="B69">
        <v>1271</v>
      </c>
      <c r="C69">
        <v>435</v>
      </c>
      <c r="D69">
        <v>1194</v>
      </c>
      <c r="E69">
        <v>1401</v>
      </c>
      <c r="F69">
        <v>645</v>
      </c>
      <c r="G69">
        <v>631</v>
      </c>
      <c r="H69">
        <v>1068</v>
      </c>
      <c r="I69">
        <v>461</v>
      </c>
      <c r="J69">
        <v>1348</v>
      </c>
      <c r="L69">
        <v>5961</v>
      </c>
      <c r="M69">
        <v>1693</v>
      </c>
    </row>
    <row r="70" spans="2:13" x14ac:dyDescent="0.25">
      <c r="B70">
        <v>1259</v>
      </c>
      <c r="C70">
        <v>434</v>
      </c>
      <c r="D70">
        <v>1209</v>
      </c>
      <c r="E70">
        <v>1401</v>
      </c>
      <c r="F70">
        <v>656</v>
      </c>
      <c r="G70">
        <v>630</v>
      </c>
      <c r="H70">
        <v>1112</v>
      </c>
      <c r="I70">
        <v>476</v>
      </c>
      <c r="J70">
        <v>1358</v>
      </c>
      <c r="L70">
        <v>5947</v>
      </c>
      <c r="M70">
        <v>1678</v>
      </c>
    </row>
    <row r="71" spans="2:13" x14ac:dyDescent="0.25">
      <c r="B71">
        <v>1238</v>
      </c>
      <c r="C71">
        <v>441</v>
      </c>
      <c r="D71">
        <v>1197</v>
      </c>
      <c r="E71">
        <v>1403</v>
      </c>
      <c r="F71">
        <v>653</v>
      </c>
      <c r="G71">
        <v>630</v>
      </c>
      <c r="H71">
        <v>1103</v>
      </c>
      <c r="I71">
        <v>458</v>
      </c>
      <c r="J71">
        <v>1352</v>
      </c>
      <c r="L71">
        <v>5992</v>
      </c>
      <c r="M71">
        <v>1726</v>
      </c>
    </row>
    <row r="72" spans="2:13" x14ac:dyDescent="0.25">
      <c r="B72">
        <v>1295</v>
      </c>
      <c r="C72">
        <v>434</v>
      </c>
      <c r="D72">
        <v>1202</v>
      </c>
      <c r="E72">
        <v>1392</v>
      </c>
      <c r="F72">
        <v>643</v>
      </c>
      <c r="G72">
        <v>635</v>
      </c>
      <c r="H72">
        <v>1061</v>
      </c>
      <c r="I72">
        <v>484</v>
      </c>
      <c r="J72">
        <v>1381</v>
      </c>
      <c r="L72">
        <v>5987</v>
      </c>
      <c r="M72">
        <v>1720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72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43</v>
      </c>
    </row>
    <row r="37" spans="2:17" x14ac:dyDescent="0.25">
      <c r="B37" t="s">
        <v>2</v>
      </c>
      <c r="C37" t="s">
        <v>12</v>
      </c>
      <c r="D37" t="s">
        <v>13</v>
      </c>
      <c r="E37" t="s">
        <v>29</v>
      </c>
      <c r="F37" t="s">
        <v>8</v>
      </c>
      <c r="G37" t="s">
        <v>23</v>
      </c>
      <c r="H37" t="s">
        <v>22</v>
      </c>
      <c r="I37" t="s">
        <v>26</v>
      </c>
      <c r="J37" t="s">
        <v>14</v>
      </c>
      <c r="K37" t="s">
        <v>27</v>
      </c>
      <c r="L37" t="s">
        <v>31</v>
      </c>
      <c r="M37" t="s">
        <v>30</v>
      </c>
      <c r="N37" t="s">
        <v>15</v>
      </c>
    </row>
    <row r="38" spans="2:17" x14ac:dyDescent="0.25">
      <c r="B38" t="s">
        <v>24</v>
      </c>
      <c r="C38" s="2">
        <f>AVERAGE(Table52[Newtonsoft])</f>
        <v>798.8</v>
      </c>
      <c r="D38" s="2">
        <f>AVERAGE(Table52[Revenj])</f>
        <v>830.4</v>
      </c>
      <c r="E38" s="2">
        <f>AVERAGE(Table52[fastJSON])</f>
        <v>814.4</v>
      </c>
      <c r="F38" s="2">
        <f>AVERAGE(Table52[Service Stack])</f>
        <v>805.2</v>
      </c>
      <c r="G38" s="2">
        <f>AVERAGE(Table52[Jil])</f>
        <v>808</v>
      </c>
      <c r="H38" s="2">
        <f>AVERAGE(Table52[NetJSON])</f>
        <v>803.4</v>
      </c>
      <c r="I38" s="2">
        <f>AVERAGE(Table52[Jackson])</f>
        <v>764.4</v>
      </c>
      <c r="J38" s="2">
        <f>AVERAGE(Table52[DSL Platform Java])</f>
        <v>701</v>
      </c>
      <c r="K38" s="2">
        <f>AVERAGE(Table52[Genson])</f>
        <v>731.8</v>
      </c>
      <c r="L38" s="2">
        <f>AVERAGE(Table52[Boon])</f>
        <v>739.8</v>
      </c>
      <c r="M38" s="2">
        <f>AVERAGE(Table52[Alibaba])</f>
        <v>740.6</v>
      </c>
      <c r="N38" s="2">
        <f>AVERAGE(Table52[Gson])</f>
        <v>744.4</v>
      </c>
      <c r="O38" s="2"/>
      <c r="P38" s="2"/>
      <c r="Q38" s="2"/>
    </row>
    <row r="39" spans="2:17" x14ac:dyDescent="0.25">
      <c r="B39" t="s">
        <v>0</v>
      </c>
      <c r="C39" s="2">
        <f>AVERAGE(Table51[Newtonsoft]) - C38</f>
        <v>2978.2</v>
      </c>
      <c r="D39" s="2">
        <f>AVERAGE(Table51[Revenj]) - D38</f>
        <v>1092.5999999999999</v>
      </c>
      <c r="E39" s="2">
        <f>AVERAGE(Table51[fastJSON]) - E38</f>
        <v>3447.9999999999995</v>
      </c>
      <c r="F39" s="2">
        <f>AVERAGE(Table51[Service Stack]) - F38</f>
        <v>4520.6000000000004</v>
      </c>
      <c r="G39" s="2">
        <f>AVERAGE(Table51[Jil]) - G38</f>
        <v>1783</v>
      </c>
      <c r="H39" s="2">
        <f>AVERAGE(Table51[NetJSON]) - H38</f>
        <v>1716.7999999999997</v>
      </c>
      <c r="I39" s="2">
        <f>AVERAGE(Table51[Jackson]) - I38</f>
        <v>1558.6</v>
      </c>
      <c r="J39" s="2">
        <f>AVERAGE(Table51[DSL Platform Java]) - J38</f>
        <v>358.40000000000009</v>
      </c>
      <c r="K39" s="2">
        <f>AVERAGE(Table51[Genson]) - K38</f>
        <v>4847</v>
      </c>
      <c r="L39" s="2">
        <f>AVERAGE(Table51[Boon]) - L38</f>
        <v>2116.1999999999998</v>
      </c>
      <c r="M39" s="4" t="s">
        <v>53</v>
      </c>
      <c r="N39" s="2">
        <f>AVERAGE(Table51[Gson]) - N38</f>
        <v>3199</v>
      </c>
      <c r="O39" s="2"/>
      <c r="P39" s="2"/>
      <c r="Q39" s="2"/>
    </row>
    <row r="40" spans="2:17" x14ac:dyDescent="0.25">
      <c r="B40" t="s">
        <v>1</v>
      </c>
      <c r="C40" s="2">
        <f t="shared" ref="C40:H40" si="0">C41 - C39 - C38</f>
        <v>8120.9999999999991</v>
      </c>
      <c r="D40" s="2">
        <f t="shared" si="0"/>
        <v>1967.8000000000002</v>
      </c>
      <c r="E40" s="2">
        <f t="shared" ref="E40" si="1">E41 - E39 - E38</f>
        <v>7250.6</v>
      </c>
      <c r="F40" s="2">
        <f t="shared" si="0"/>
        <v>7886.8</v>
      </c>
      <c r="G40" s="2">
        <f t="shared" si="0"/>
        <v>2945</v>
      </c>
      <c r="H40" s="2">
        <f t="shared" si="0"/>
        <v>3156</v>
      </c>
      <c r="I40" s="2">
        <f t="shared" ref="I40" si="2">I41 - I39 - I38</f>
        <v>2686.3999999999996</v>
      </c>
      <c r="J40" s="2">
        <f t="shared" ref="J40" si="3">J41 - J39 - J38</f>
        <v>576.59999999999991</v>
      </c>
      <c r="K40" s="2">
        <f t="shared" ref="K40:L40" si="4">K41 - K39 - K38</f>
        <v>4511.5999999999995</v>
      </c>
      <c r="L40" s="2" t="e">
        <f t="shared" si="4"/>
        <v>#DIV/0!</v>
      </c>
      <c r="M40" s="2" t="e">
        <f t="shared" ref="M40" si="5">M41 - M39 - M38</f>
        <v>#VALUE!</v>
      </c>
      <c r="N40" s="2">
        <f t="shared" ref="N40" si="6">N41 - N39 - N38</f>
        <v>5609</v>
      </c>
      <c r="O40" s="2"/>
      <c r="P40" s="2"/>
      <c r="Q40" s="2"/>
    </row>
    <row r="41" spans="2:17" x14ac:dyDescent="0.25">
      <c r="B41" t="s">
        <v>25</v>
      </c>
      <c r="C41" s="2">
        <f>AVERAGE(Table53[Newtonsoft])</f>
        <v>11898</v>
      </c>
      <c r="D41" s="2">
        <f>AVERAGE(Table53[Revenj])</f>
        <v>3890.8</v>
      </c>
      <c r="E41" s="2">
        <f>AVERAGE(Table53[fastJSON])</f>
        <v>11513</v>
      </c>
      <c r="F41" s="2">
        <f>AVERAGE(Table53[Service Stack])</f>
        <v>13212.6</v>
      </c>
      <c r="G41" s="2">
        <f>AVERAGE(Table53[Jil])</f>
        <v>5536</v>
      </c>
      <c r="H41" s="2">
        <f>AVERAGE(Table53[NetJSON])</f>
        <v>5676.2</v>
      </c>
      <c r="I41" s="2">
        <f>AVERAGE(Table53[Jackson])</f>
        <v>5009.3999999999996</v>
      </c>
      <c r="J41" s="2">
        <f>AVERAGE(Table53[DSL Platform Java])</f>
        <v>1636</v>
      </c>
      <c r="K41" s="2">
        <f>AVERAGE(Table53[Genson])</f>
        <v>10090.4</v>
      </c>
      <c r="L41" s="2" t="e">
        <f>AVERAGE(Table53[Boon])</f>
        <v>#DIV/0!</v>
      </c>
      <c r="M41" s="4" t="s">
        <v>53</v>
      </c>
      <c r="N41" s="2">
        <f>AVERAGE(Table53[Gson])</f>
        <v>9552.4</v>
      </c>
      <c r="O41" s="2"/>
      <c r="P41" s="2"/>
      <c r="Q41" s="2"/>
    </row>
    <row r="42" spans="2:17" x14ac:dyDescent="0.25">
      <c r="B42" t="s">
        <v>4</v>
      </c>
      <c r="C42" s="3">
        <f>AVERAGE(Table51[Newtonsoft (size)])</f>
        <v>120388890</v>
      </c>
      <c r="D42" s="3">
        <f>AVERAGE(Table51[Revenj (size)])</f>
        <v>102888890</v>
      </c>
      <c r="E42" s="3">
        <f>AVERAGE(Table51[fastJSON (size)])</f>
        <v>108388890</v>
      </c>
      <c r="F42" s="3">
        <f>AVERAGE(Table51[Service Stack (size)])</f>
        <v>119388890</v>
      </c>
      <c r="G42" s="2">
        <f>AVERAGE(Table51[Jil (size)])</f>
        <v>123388890</v>
      </c>
      <c r="H42" s="2">
        <f>AVERAGE(Table51[NetJSON (size)])</f>
        <v>112888890</v>
      </c>
      <c r="I42" s="2">
        <f>AVERAGE(Table51[Jackson (size)])</f>
        <v>102888890</v>
      </c>
      <c r="J42" s="2">
        <f>AVERAGE(Table51[DSL Platform Java (size)])</f>
        <v>102888890</v>
      </c>
      <c r="K42" s="2">
        <f>AVERAGE(Table51[Genson (size)])</f>
        <v>110388890</v>
      </c>
      <c r="L42" s="2">
        <f>AVERAGE(Table51[Boon (size)])</f>
        <v>90888890</v>
      </c>
      <c r="M42" s="4" t="s">
        <v>53</v>
      </c>
      <c r="N42" s="2">
        <f>AVERAGE(Table51[Gson (size)])</f>
        <v>110388890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12</v>
      </c>
      <c r="D46" t="s">
        <v>13</v>
      </c>
      <c r="E46" t="s">
        <v>29</v>
      </c>
      <c r="F46" t="s">
        <v>8</v>
      </c>
      <c r="G46" t="s">
        <v>23</v>
      </c>
      <c r="H46" t="s">
        <v>22</v>
      </c>
      <c r="I46" t="s">
        <v>26</v>
      </c>
      <c r="J46" t="s">
        <v>14</v>
      </c>
      <c r="K46" t="s">
        <v>27</v>
      </c>
      <c r="L46" t="s">
        <v>31</v>
      </c>
      <c r="M46" t="s">
        <v>30</v>
      </c>
      <c r="N46" t="s">
        <v>15</v>
      </c>
    </row>
    <row r="47" spans="2:17" x14ac:dyDescent="0.25">
      <c r="B47" t="s">
        <v>0</v>
      </c>
      <c r="C47" s="2">
        <f>DEVSQ(Table51[Newtonsoft])</f>
        <v>5354</v>
      </c>
      <c r="D47" s="2">
        <f>DEVSQ(Table51[Revenj])</f>
        <v>1514</v>
      </c>
      <c r="E47" s="2">
        <f>DEVSQ(Table51[fastJSON])</f>
        <v>5067.2000000000007</v>
      </c>
      <c r="F47" s="2">
        <f>DEVSQ(Table51[Service Stack])</f>
        <v>9790.7999999999993</v>
      </c>
      <c r="G47" s="2">
        <f>DEVSQ(Table51[Jil])</f>
        <v>5444</v>
      </c>
      <c r="H47" s="2">
        <f>DEVSQ(Table51[NetJSON])</f>
        <v>3072.8</v>
      </c>
      <c r="I47" s="2">
        <f>DEVSQ(Table51[Jackson])</f>
        <v>49510</v>
      </c>
      <c r="J47" s="2">
        <f>DEVSQ(Table51[DSL Platform Java])</f>
        <v>133.19999999999999</v>
      </c>
      <c r="K47" s="2">
        <f>DEVSQ(Table51[Genson])</f>
        <v>52752.800000000003</v>
      </c>
      <c r="L47" s="2">
        <f>DEVSQ(Table51[Boon])</f>
        <v>83374</v>
      </c>
      <c r="M47" s="2">
        <f>DEVSQ(Table51[Alibaba])</f>
        <v>117329.20000000001</v>
      </c>
      <c r="N47" s="2">
        <f>DEVSQ(Table51[Gson])</f>
        <v>20773.2</v>
      </c>
      <c r="O47" s="2"/>
      <c r="P47" s="2"/>
      <c r="Q47" s="2"/>
    </row>
    <row r="48" spans="2:17" x14ac:dyDescent="0.25">
      <c r="B48" t="s">
        <v>25</v>
      </c>
      <c r="C48" s="2">
        <f>DEVSQ(Table53[Newtonsoft])</f>
        <v>55468</v>
      </c>
      <c r="D48" s="2">
        <f>DEVSQ(Table53[Revenj])</f>
        <v>462.8</v>
      </c>
      <c r="E48" s="2">
        <f>DEVSQ(Table53[fastJSON])</f>
        <v>14680</v>
      </c>
      <c r="F48" s="2">
        <f>DEVSQ(Table53[Service Stack])</f>
        <v>2057.1999999999998</v>
      </c>
      <c r="G48" s="2">
        <f>DEVSQ(Table53[Jil])</f>
        <v>2066</v>
      </c>
      <c r="H48" s="2">
        <f>DEVSQ(Table53[NetJSON])</f>
        <v>7202.8</v>
      </c>
      <c r="I48" s="2">
        <f>DEVSQ(Table53[Jackson])</f>
        <v>40009.199999999997</v>
      </c>
      <c r="J48" s="2">
        <f>DEVSQ(Table53[DSL Platform Java])</f>
        <v>26170</v>
      </c>
      <c r="K48" s="2">
        <f>DEVSQ(Table53[Genson])</f>
        <v>223859.20000000001</v>
      </c>
      <c r="L48" s="2" t="e">
        <f>DEVSQ(Table53[Boon])</f>
        <v>#NUM!</v>
      </c>
      <c r="M48" s="2">
        <f>DEVSQ(Table53[Alibaba])</f>
        <v>530304.80000000005</v>
      </c>
      <c r="N48" s="2">
        <f>DEVSQ(Table53[Gson])</f>
        <v>86577.2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10</v>
      </c>
    </row>
    <row r="51" spans="2:25" x14ac:dyDescent="0.25">
      <c r="B51" t="s">
        <v>12</v>
      </c>
      <c r="C51" t="s">
        <v>13</v>
      </c>
      <c r="D51" t="s">
        <v>29</v>
      </c>
      <c r="E51" t="s">
        <v>8</v>
      </c>
      <c r="F51" t="s">
        <v>23</v>
      </c>
      <c r="G51" t="s">
        <v>22</v>
      </c>
      <c r="H51" t="s">
        <v>6</v>
      </c>
      <c r="I51" t="s">
        <v>14</v>
      </c>
      <c r="J51" t="s">
        <v>27</v>
      </c>
      <c r="K51" t="s">
        <v>31</v>
      </c>
      <c r="L51" t="s">
        <v>30</v>
      </c>
      <c r="M51" t="s">
        <v>15</v>
      </c>
    </row>
    <row r="52" spans="2:25" x14ac:dyDescent="0.25">
      <c r="B52">
        <v>796</v>
      </c>
      <c r="C52">
        <v>825</v>
      </c>
      <c r="D52">
        <v>808</v>
      </c>
      <c r="E52">
        <v>804</v>
      </c>
      <c r="F52">
        <v>807</v>
      </c>
      <c r="G52">
        <v>802</v>
      </c>
      <c r="H52">
        <v>761</v>
      </c>
      <c r="I52">
        <v>685</v>
      </c>
      <c r="J52">
        <v>734</v>
      </c>
      <c r="K52">
        <v>737</v>
      </c>
      <c r="L52">
        <v>738</v>
      </c>
      <c r="M52">
        <v>775</v>
      </c>
    </row>
    <row r="53" spans="2:25" x14ac:dyDescent="0.25">
      <c r="B53">
        <v>794</v>
      </c>
      <c r="C53">
        <v>833</v>
      </c>
      <c r="D53">
        <v>815</v>
      </c>
      <c r="E53">
        <v>804</v>
      </c>
      <c r="F53">
        <v>809</v>
      </c>
      <c r="G53">
        <v>803</v>
      </c>
      <c r="H53">
        <v>765</v>
      </c>
      <c r="I53">
        <v>689</v>
      </c>
      <c r="J53">
        <v>733</v>
      </c>
      <c r="K53">
        <v>740</v>
      </c>
      <c r="L53">
        <v>740</v>
      </c>
      <c r="M53">
        <v>735</v>
      </c>
    </row>
    <row r="54" spans="2:25" x14ac:dyDescent="0.25">
      <c r="B54">
        <v>798</v>
      </c>
      <c r="C54">
        <v>832</v>
      </c>
      <c r="D54">
        <v>813</v>
      </c>
      <c r="E54">
        <v>815</v>
      </c>
      <c r="F54">
        <v>804</v>
      </c>
      <c r="G54">
        <v>811</v>
      </c>
      <c r="H54">
        <v>765</v>
      </c>
      <c r="I54">
        <v>686</v>
      </c>
      <c r="J54">
        <v>732</v>
      </c>
      <c r="K54">
        <v>742</v>
      </c>
      <c r="L54">
        <v>741</v>
      </c>
      <c r="M54">
        <v>737</v>
      </c>
    </row>
    <row r="55" spans="2:25" x14ac:dyDescent="0.25">
      <c r="B55">
        <v>801</v>
      </c>
      <c r="C55">
        <v>829</v>
      </c>
      <c r="D55">
        <v>829</v>
      </c>
      <c r="E55">
        <v>804</v>
      </c>
      <c r="F55">
        <v>811</v>
      </c>
      <c r="G55">
        <v>800</v>
      </c>
      <c r="H55">
        <v>737</v>
      </c>
      <c r="I55">
        <v>685</v>
      </c>
      <c r="J55">
        <v>729</v>
      </c>
      <c r="K55">
        <v>737</v>
      </c>
      <c r="L55">
        <v>745</v>
      </c>
      <c r="M55">
        <v>738</v>
      </c>
    </row>
    <row r="56" spans="2:25" x14ac:dyDescent="0.25">
      <c r="B56">
        <v>805</v>
      </c>
      <c r="C56">
        <v>833</v>
      </c>
      <c r="D56">
        <v>807</v>
      </c>
      <c r="E56">
        <v>799</v>
      </c>
      <c r="F56">
        <v>809</v>
      </c>
      <c r="G56">
        <v>801</v>
      </c>
      <c r="H56">
        <v>794</v>
      </c>
      <c r="I56">
        <v>760</v>
      </c>
      <c r="J56">
        <v>731</v>
      </c>
      <c r="K56">
        <v>743</v>
      </c>
      <c r="L56">
        <v>739</v>
      </c>
      <c r="M56">
        <v>737</v>
      </c>
    </row>
    <row r="58" spans="2:25" x14ac:dyDescent="0.25">
      <c r="B58" s="1" t="s">
        <v>11</v>
      </c>
    </row>
    <row r="59" spans="2:25" x14ac:dyDescent="0.25">
      <c r="B59" t="s">
        <v>12</v>
      </c>
      <c r="C59" t="s">
        <v>13</v>
      </c>
      <c r="D59" t="s">
        <v>29</v>
      </c>
      <c r="E59" t="s">
        <v>8</v>
      </c>
      <c r="F59" t="s">
        <v>23</v>
      </c>
      <c r="G59" t="s">
        <v>22</v>
      </c>
      <c r="H59" t="s">
        <v>6</v>
      </c>
      <c r="I59" t="s">
        <v>14</v>
      </c>
      <c r="J59" t="s">
        <v>27</v>
      </c>
      <c r="K59" t="s">
        <v>31</v>
      </c>
      <c r="L59" t="s">
        <v>30</v>
      </c>
      <c r="M59" t="s">
        <v>15</v>
      </c>
      <c r="N59" t="s">
        <v>5</v>
      </c>
      <c r="O59" t="s">
        <v>16</v>
      </c>
      <c r="P59" t="s">
        <v>32</v>
      </c>
      <c r="Q59" t="s">
        <v>17</v>
      </c>
      <c r="R59" t="s">
        <v>18</v>
      </c>
      <c r="S59" t="s">
        <v>19</v>
      </c>
      <c r="T59" t="s">
        <v>7</v>
      </c>
      <c r="U59" t="s">
        <v>20</v>
      </c>
      <c r="V59" t="s">
        <v>28</v>
      </c>
      <c r="W59" t="s">
        <v>33</v>
      </c>
      <c r="X59" t="s">
        <v>34</v>
      </c>
      <c r="Y59" t="s">
        <v>21</v>
      </c>
    </row>
    <row r="60" spans="2:25" x14ac:dyDescent="0.25">
      <c r="B60">
        <v>3784</v>
      </c>
      <c r="C60">
        <v>1923</v>
      </c>
      <c r="D60">
        <v>4260</v>
      </c>
      <c r="E60">
        <v>5327</v>
      </c>
      <c r="F60">
        <v>2608</v>
      </c>
      <c r="G60">
        <v>2514</v>
      </c>
      <c r="H60">
        <v>2258</v>
      </c>
      <c r="I60">
        <v>1063</v>
      </c>
      <c r="J60">
        <v>5534</v>
      </c>
      <c r="K60">
        <v>2693</v>
      </c>
      <c r="L60">
        <v>18563</v>
      </c>
      <c r="M60">
        <v>3945</v>
      </c>
      <c r="N60">
        <v>120388890</v>
      </c>
      <c r="O60">
        <v>102888890</v>
      </c>
      <c r="P60">
        <v>108388890</v>
      </c>
      <c r="Q60">
        <v>119388890</v>
      </c>
      <c r="R60">
        <v>123388890</v>
      </c>
      <c r="S60">
        <v>112888890</v>
      </c>
      <c r="T60">
        <v>102888890</v>
      </c>
      <c r="U60">
        <v>102888890</v>
      </c>
      <c r="V60">
        <v>110388890</v>
      </c>
      <c r="W60">
        <v>90888890</v>
      </c>
      <c r="X60">
        <v>1960830170</v>
      </c>
      <c r="Y60">
        <v>110388890</v>
      </c>
    </row>
    <row r="61" spans="2:25" x14ac:dyDescent="0.25">
      <c r="B61">
        <v>3757</v>
      </c>
      <c r="C61">
        <v>1956</v>
      </c>
      <c r="D61">
        <v>4220</v>
      </c>
      <c r="E61">
        <v>5256</v>
      </c>
      <c r="F61">
        <v>2544</v>
      </c>
      <c r="G61">
        <v>2534</v>
      </c>
      <c r="H61">
        <v>2485</v>
      </c>
      <c r="I61">
        <v>1051</v>
      </c>
      <c r="J61">
        <v>5493</v>
      </c>
      <c r="K61">
        <v>2734</v>
      </c>
      <c r="L61">
        <v>18111</v>
      </c>
      <c r="M61">
        <v>3854</v>
      </c>
      <c r="N61">
        <v>120388890</v>
      </c>
      <c r="O61">
        <v>102888890</v>
      </c>
      <c r="P61">
        <v>108388890</v>
      </c>
      <c r="Q61">
        <v>119388890</v>
      </c>
      <c r="R61">
        <v>123388890</v>
      </c>
      <c r="S61">
        <v>112888890</v>
      </c>
      <c r="T61">
        <v>102888890</v>
      </c>
      <c r="U61">
        <v>102888890</v>
      </c>
      <c r="V61">
        <v>110388890</v>
      </c>
      <c r="W61">
        <v>90888890</v>
      </c>
      <c r="X61">
        <v>1960830170</v>
      </c>
      <c r="Y61">
        <v>110388890</v>
      </c>
    </row>
    <row r="62" spans="2:25" x14ac:dyDescent="0.25">
      <c r="B62">
        <v>3794</v>
      </c>
      <c r="C62">
        <v>1913</v>
      </c>
      <c r="D62">
        <v>4242</v>
      </c>
      <c r="E62">
        <v>5303</v>
      </c>
      <c r="F62">
        <v>2634</v>
      </c>
      <c r="G62">
        <v>2494</v>
      </c>
      <c r="H62">
        <v>2211</v>
      </c>
      <c r="I62">
        <v>1065</v>
      </c>
      <c r="J62">
        <v>5509</v>
      </c>
      <c r="K62">
        <v>2957</v>
      </c>
      <c r="L62">
        <v>18322</v>
      </c>
      <c r="M62">
        <v>4055</v>
      </c>
      <c r="N62">
        <v>120388890</v>
      </c>
      <c r="O62">
        <v>102888890</v>
      </c>
      <c r="P62">
        <v>108388890</v>
      </c>
      <c r="Q62">
        <v>119388890</v>
      </c>
      <c r="R62">
        <v>123388890</v>
      </c>
      <c r="S62">
        <v>112888890</v>
      </c>
      <c r="T62">
        <v>102888890</v>
      </c>
      <c r="U62">
        <v>102888890</v>
      </c>
      <c r="V62">
        <v>110388890</v>
      </c>
      <c r="W62">
        <v>90888890</v>
      </c>
      <c r="X62">
        <v>1960830170</v>
      </c>
      <c r="Y62">
        <v>110388890</v>
      </c>
    </row>
    <row r="63" spans="2:25" x14ac:dyDescent="0.25">
      <c r="B63">
        <v>3727</v>
      </c>
      <c r="C63">
        <v>1917</v>
      </c>
      <c r="D63">
        <v>4276</v>
      </c>
      <c r="E63">
        <v>5361</v>
      </c>
      <c r="F63">
        <v>2562</v>
      </c>
      <c r="G63">
        <v>2561</v>
      </c>
      <c r="H63">
        <v>2387</v>
      </c>
      <c r="I63">
        <v>1062</v>
      </c>
      <c r="J63">
        <v>5583</v>
      </c>
      <c r="K63">
        <v>3034</v>
      </c>
      <c r="L63">
        <v>18470</v>
      </c>
      <c r="M63">
        <v>3936</v>
      </c>
      <c r="N63">
        <v>120388890</v>
      </c>
      <c r="O63">
        <v>102888890</v>
      </c>
      <c r="P63">
        <v>108388890</v>
      </c>
      <c r="Q63">
        <v>119388890</v>
      </c>
      <c r="R63">
        <v>123388890</v>
      </c>
      <c r="S63">
        <v>112888890</v>
      </c>
      <c r="T63">
        <v>102888890</v>
      </c>
      <c r="U63">
        <v>102888890</v>
      </c>
      <c r="V63">
        <v>110388890</v>
      </c>
      <c r="W63">
        <v>90888890</v>
      </c>
      <c r="X63">
        <v>1960830170</v>
      </c>
      <c r="Y63">
        <v>110388890</v>
      </c>
    </row>
    <row r="64" spans="2:25" x14ac:dyDescent="0.25">
      <c r="B64">
        <v>3823</v>
      </c>
      <c r="C64">
        <v>1906</v>
      </c>
      <c r="D64">
        <v>4314</v>
      </c>
      <c r="E64">
        <v>5382</v>
      </c>
      <c r="F64">
        <v>2607</v>
      </c>
      <c r="G64">
        <v>2498</v>
      </c>
      <c r="H64">
        <v>2274</v>
      </c>
      <c r="I64">
        <v>1056</v>
      </c>
      <c r="J64">
        <v>5775</v>
      </c>
      <c r="K64">
        <v>2862</v>
      </c>
      <c r="L64">
        <v>18336</v>
      </c>
      <c r="M64">
        <v>3927</v>
      </c>
      <c r="N64">
        <v>120388890</v>
      </c>
      <c r="O64">
        <v>102888890</v>
      </c>
      <c r="P64">
        <v>108388890</v>
      </c>
      <c r="Q64">
        <v>119388890</v>
      </c>
      <c r="R64">
        <v>123388890</v>
      </c>
      <c r="S64">
        <v>112888890</v>
      </c>
      <c r="T64">
        <v>102888890</v>
      </c>
      <c r="U64">
        <v>102888890</v>
      </c>
      <c r="V64">
        <v>110388890</v>
      </c>
      <c r="W64">
        <v>90888890</v>
      </c>
      <c r="X64">
        <v>1960830170</v>
      </c>
      <c r="Y64">
        <v>110388890</v>
      </c>
    </row>
    <row r="66" spans="2:13" x14ac:dyDescent="0.25">
      <c r="B66" s="1" t="s">
        <v>9</v>
      </c>
    </row>
    <row r="67" spans="2:13" x14ac:dyDescent="0.25">
      <c r="B67" t="s">
        <v>12</v>
      </c>
      <c r="C67" t="s">
        <v>13</v>
      </c>
      <c r="D67" t="s">
        <v>29</v>
      </c>
      <c r="E67" t="s">
        <v>8</v>
      </c>
      <c r="F67" t="s">
        <v>23</v>
      </c>
      <c r="G67" t="s">
        <v>22</v>
      </c>
      <c r="H67" t="s">
        <v>6</v>
      </c>
      <c r="I67" t="s">
        <v>14</v>
      </c>
      <c r="J67" t="s">
        <v>27</v>
      </c>
      <c r="K67" t="s">
        <v>31</v>
      </c>
      <c r="L67" t="s">
        <v>30</v>
      </c>
      <c r="M67" t="s">
        <v>15</v>
      </c>
    </row>
    <row r="68" spans="2:13" x14ac:dyDescent="0.25">
      <c r="B68">
        <v>12014</v>
      </c>
      <c r="C68">
        <v>3883</v>
      </c>
      <c r="D68">
        <v>11480</v>
      </c>
      <c r="E68">
        <v>13188</v>
      </c>
      <c r="F68">
        <v>5521</v>
      </c>
      <c r="G68">
        <v>5662</v>
      </c>
      <c r="H68">
        <v>5039</v>
      </c>
      <c r="I68">
        <v>1615</v>
      </c>
      <c r="J68">
        <v>10161</v>
      </c>
      <c r="L68">
        <v>49559</v>
      </c>
      <c r="M68">
        <v>9451</v>
      </c>
    </row>
    <row r="69" spans="2:13" x14ac:dyDescent="0.25">
      <c r="B69">
        <v>12007</v>
      </c>
      <c r="C69">
        <v>3898</v>
      </c>
      <c r="D69">
        <v>11619</v>
      </c>
      <c r="E69">
        <v>13207</v>
      </c>
      <c r="F69">
        <v>5560</v>
      </c>
      <c r="G69">
        <v>5721</v>
      </c>
      <c r="H69">
        <v>5013</v>
      </c>
      <c r="I69">
        <v>1772</v>
      </c>
      <c r="J69">
        <v>10066</v>
      </c>
      <c r="L69">
        <v>49480</v>
      </c>
      <c r="M69">
        <v>9372</v>
      </c>
    </row>
    <row r="70" spans="2:13" x14ac:dyDescent="0.25">
      <c r="B70">
        <v>11777</v>
      </c>
      <c r="C70">
        <v>3881</v>
      </c>
      <c r="D70">
        <v>11488</v>
      </c>
      <c r="E70">
        <v>13196</v>
      </c>
      <c r="F70">
        <v>5538</v>
      </c>
      <c r="G70">
        <v>5647</v>
      </c>
      <c r="H70">
        <v>4922</v>
      </c>
      <c r="I70">
        <v>1574</v>
      </c>
      <c r="J70">
        <v>9767</v>
      </c>
      <c r="L70">
        <v>49603</v>
      </c>
      <c r="M70">
        <v>9700</v>
      </c>
    </row>
    <row r="71" spans="2:13" x14ac:dyDescent="0.25">
      <c r="B71">
        <v>11775</v>
      </c>
      <c r="C71">
        <v>3886</v>
      </c>
      <c r="D71">
        <v>11472</v>
      </c>
      <c r="E71">
        <v>13231</v>
      </c>
      <c r="F71">
        <v>5555</v>
      </c>
      <c r="G71">
        <v>5630</v>
      </c>
      <c r="H71">
        <v>4914</v>
      </c>
      <c r="I71">
        <v>1641</v>
      </c>
      <c r="J71">
        <v>10035</v>
      </c>
      <c r="L71">
        <v>50271</v>
      </c>
      <c r="M71">
        <v>9700</v>
      </c>
    </row>
    <row r="72" spans="2:13" x14ac:dyDescent="0.25">
      <c r="B72">
        <v>11917</v>
      </c>
      <c r="C72">
        <v>3906</v>
      </c>
      <c r="D72">
        <v>11506</v>
      </c>
      <c r="E72">
        <v>13241</v>
      </c>
      <c r="F72">
        <v>5506</v>
      </c>
      <c r="G72">
        <v>5721</v>
      </c>
      <c r="H72">
        <v>5159</v>
      </c>
      <c r="I72">
        <v>1578</v>
      </c>
      <c r="J72">
        <v>10423</v>
      </c>
      <c r="L72">
        <v>50131</v>
      </c>
      <c r="M72">
        <v>9539</v>
      </c>
    </row>
  </sheetData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Startup</vt:lpstr>
      <vt:lpstr>Small M 1</vt:lpstr>
      <vt:lpstr>Small M 2</vt:lpstr>
      <vt:lpstr>Small M 3</vt:lpstr>
      <vt:lpstr>Small C 1</vt:lpstr>
      <vt:lpstr>Small C 2</vt:lpstr>
      <vt:lpstr>Small C 3</vt:lpstr>
      <vt:lpstr>Small P 1</vt:lpstr>
      <vt:lpstr>Small P 2</vt:lpstr>
      <vt:lpstr>Small P 3</vt:lpstr>
      <vt:lpstr>Std D 1</vt:lpstr>
      <vt:lpstr>Std D 2</vt:lpstr>
      <vt:lpstr>Std D 3</vt:lpstr>
      <vt:lpstr>Std P 1</vt:lpstr>
      <vt:lpstr>Std P 2</vt:lpstr>
      <vt:lpstr>Std P 3</vt:lpstr>
      <vt:lpstr>Large 1</vt:lpstr>
      <vt:lpstr>Large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2014-10-11T07:45:31Z</dcterms:created>
  <dcterms:modified xsi:type="dcterms:W3CDTF">2015-07-03T12:49:49Z</dcterms:modified>
</cp:coreProperties>
</file>