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43.xml" ContentType="application/vnd.openxmlformats-officedocument.spreadsheetml.table+xml"/>
  <Override PartName="/xl/tables/table54.xml" ContentType="application/vnd.openxmlformats-officedocument.spreadsheetml.table+xml"/>
  <Override PartName="/xl/tables/table72.xml" ContentType="application/vnd.openxmlformats-officedocument.spreadsheetml.table+xml"/>
  <Override PartName="/xl/tables/table90.xml" ContentType="application/vnd.openxmlformats-officedocument.spreadsheetml.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32.xml" ContentType="application/vnd.openxmlformats-officedocument.spreadsheetml.table+xml"/>
  <Override PartName="/xl/tables/table61.xml" ContentType="application/vnd.openxmlformats-officedocument.spreadsheetml.table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tables/table21.xml" ContentType="application/vnd.openxmlformats-officedocument.spreadsheetml.table+xml"/>
  <Override PartName="/xl/tables/table50.xml" ContentType="application/vnd.openxmlformats-officedocument.spreadsheetml.table+xml"/>
  <Override PartName="/xl/drawings/drawing17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tables/table59.xml" ContentType="application/vnd.openxmlformats-officedocument.spreadsheetml.table+xml"/>
  <Override PartName="/xl/charts/chart34.xml" ContentType="application/vnd.openxmlformats-officedocument.drawingml.chart+xml"/>
  <Override PartName="/xl/tables/table88.xml" ContentType="application/vnd.openxmlformats-officedocument.spreadsheetml.table+xml"/>
  <Override PartName="/xl/sharedStrings.xml" ContentType="application/vnd.openxmlformats-officedocument.spreadsheetml.sharedStrings+xml"/>
  <Override PartName="/xl/tables/table19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tables/table66.xml" ContentType="application/vnd.openxmlformats-officedocument.spreadsheetml.table+xml"/>
  <Override PartName="/xl/tables/table77.xml" ContentType="application/vnd.openxmlformats-officedocument.spreadsheetml.table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tables/table26.xml" ContentType="application/vnd.openxmlformats-officedocument.spreadsheetml.table+xml"/>
  <Override PartName="/xl/charts/chart12.xml" ContentType="application/vnd.openxmlformats-officedocument.drawingml.chart+xml"/>
  <Override PartName="/xl/tables/table37.xml" ContentType="application/vnd.openxmlformats-officedocument.spreadsheetml.table+xml"/>
  <Override PartName="/xl/tables/table55.xml" ContentType="application/vnd.openxmlformats-officedocument.spreadsheetml.table+xml"/>
  <Override PartName="/xl/tables/table73.xml" ContentType="application/vnd.openxmlformats-officedocument.spreadsheetml.table+xml"/>
  <Override PartName="/xl/charts/chart30.xml" ContentType="application/vnd.openxmlformats-officedocument.drawingml.chart+xml"/>
  <Override PartName="/xl/tables/table84.xml" ContentType="application/vnd.openxmlformats-officedocument.spreadsheetml.table+xml"/>
  <Override PartName="/xl/comments10.xml" ContentType="application/vnd.openxmlformats-officedocument.spreadsheetml.comments+xml"/>
  <Default Extension="bin" ContentType="application/vnd.openxmlformats-officedocument.spreadsheetml.printerSettings"/>
  <Override PartName="/xl/tables/table15.xml" ContentType="application/vnd.openxmlformats-officedocument.spreadsheetml.table+xml"/>
  <Override PartName="/xl/tables/table44.xml" ContentType="application/vnd.openxmlformats-officedocument.spreadsheetml.table+xml"/>
  <Override PartName="/xl/tables/table62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22.xml" ContentType="application/vnd.openxmlformats-officedocument.spreadsheetml.table+xml"/>
  <Override PartName="/xl/drawings/drawing7.xml" ContentType="application/vnd.openxmlformats-officedocument.drawing+xml"/>
  <Override PartName="/xl/tables/table33.xml" ContentType="application/vnd.openxmlformats-officedocument.spreadsheetml.table+xml"/>
  <Override PartName="/xl/tables/table51.xml" ContentType="application/vnd.openxmlformats-officedocument.spreadsheetml.table+xml"/>
  <Override PartName="/xl/tables/table80.xml" ContentType="application/vnd.openxmlformats-officedocument.spreadsheetml.table+xml"/>
  <Override PartName="/xl/comments9.xml" ContentType="application/vnd.openxmlformats-officedocument.spreadsheetml.comments+xml"/>
  <Override PartName="/xl/worksheets/sheet8.xml" ContentType="application/vnd.openxmlformats-officedocument.spreadsheetml.worksheet+xml"/>
  <Override PartName="/xl/tables/table11.xml" ContentType="application/vnd.openxmlformats-officedocument.spreadsheetml.table+xml"/>
  <Override PartName="/xl/tables/table40.xml" ContentType="application/vnd.openxmlformats-officedocument.spreadsheetml.table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tables/table8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tables/table49.xml" ContentType="application/vnd.openxmlformats-officedocument.spreadsheetml.table+xml"/>
  <Override PartName="/xl/tables/table78.xml" ContentType="application/vnd.openxmlformats-officedocument.spreadsheetml.table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tables/table38.xml" ContentType="application/vnd.openxmlformats-officedocument.spreadsheetml.tab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tables/table67.xml" ContentType="application/vnd.openxmlformats-officedocument.spreadsheetml.table+xml"/>
  <Override PartName="/xl/tables/table85.xml" ContentType="application/vnd.openxmlformats-officedocument.spreadsheetml.table+xml"/>
  <Override PartName="/xl/worksheets/sheet17.xml" ContentType="application/vnd.openxmlformats-officedocument.spreadsheetml.worksheet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tables/table27.xml" ContentType="application/vnd.openxmlformats-officedocument.spreadsheetml.table+xml"/>
  <Override PartName="/xl/charts/chart11.xml" ContentType="application/vnd.openxmlformats-officedocument.drawingml.chart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charts/chart22.xml" ContentType="application/vnd.openxmlformats-officedocument.drawingml.chart+xml"/>
  <Override PartName="/xl/tables/table56.xml" ContentType="application/vnd.openxmlformats-officedocument.spreadsheetml.table+xml"/>
  <Override PartName="/xl/tables/table65.xml" ContentType="application/vnd.openxmlformats-officedocument.spreadsheetml.table+xml"/>
  <Override PartName="/xl/tables/table74.xml" ContentType="application/vnd.openxmlformats-officedocument.spreadsheetml.table+xml"/>
  <Override PartName="/xl/charts/chart31.xml" ContentType="application/vnd.openxmlformats-officedocument.drawingml.chart+xml"/>
  <Override PartName="/xl/tables/table83.xml" ContentType="application/vnd.openxmlformats-officedocument.spreadsheetml.table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tables/table16.xml" ContentType="application/vnd.openxmlformats-officedocument.spreadsheetml.table+xml"/>
  <Override PartName="/xl/tables/table34.xml" ContentType="application/vnd.openxmlformats-officedocument.spreadsheetml.table+xml"/>
  <Override PartName="/xl/charts/chart20.xml" ContentType="application/vnd.openxmlformats-officedocument.drawingml.chart+xml"/>
  <Override PartName="/xl/tables/table63.xml" ContentType="application/vnd.openxmlformats-officedocument.spreadsheetml.table+xml"/>
  <Override PartName="/xl/tables/table81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tables/table23.xml" ContentType="application/vnd.openxmlformats-officedocument.spreadsheetml.table+xml"/>
  <Override PartName="/xl/drawings/drawing8.xml" ContentType="application/vnd.openxmlformats-officedocument.drawing+xml"/>
  <Override PartName="/xl/tables/table41.xml" ContentType="application/vnd.openxmlformats-officedocument.spreadsheetml.table+xml"/>
  <Override PartName="/xl/tables/table52.xml" ContentType="application/vnd.openxmlformats-officedocument.spreadsheetml.table+xml"/>
  <Override PartName="/xl/tables/table70.xml" ContentType="application/vnd.openxmlformats-officedocument.spreadsheetml.tab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30.xml" ContentType="application/vnd.openxmlformats-officedocument.spreadsheetml.table+xml"/>
  <Override PartName="/xl/comments6.xml" ContentType="application/vnd.openxmlformats-officedocument.spreadsheetml.comments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tables/table68.xml" ContentType="application/vnd.openxmlformats-officedocument.spreadsheetml.table+xml"/>
  <Override PartName="/xl/tables/table79.xml" ContentType="application/vnd.openxmlformats-officedocument.spreadsheetml.table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tables/table39.xml" ContentType="application/vnd.openxmlformats-officedocument.spreadsheetml.table+xml"/>
  <Override PartName="/xl/tables/table57.xml" ContentType="application/vnd.openxmlformats-officedocument.spreadsheetml.table+xml"/>
  <Override PartName="/xl/charts/chart32.xml" ContentType="application/vnd.openxmlformats-officedocument.drawingml.chart+xml"/>
  <Override PartName="/xl/tables/table86.xml" ContentType="application/vnd.openxmlformats-officedocument.spreadsheetml.table+xml"/>
  <Override PartName="/xl/tables/table17.xml" ContentType="application/vnd.openxmlformats-officedocument.spreadsheetml.table+xml"/>
  <Override PartName="/xl/tables/table28.xml" ContentType="application/vnd.openxmlformats-officedocument.spreadsheetml.table+xml"/>
  <Override PartName="/xl/tables/table46.xml" ContentType="application/vnd.openxmlformats-officedocument.spreadsheetml.table+xml"/>
  <Override PartName="/xl/charts/chart21.xml" ContentType="application/vnd.openxmlformats-officedocument.drawingml.chart+xml"/>
  <Override PartName="/xl/tables/table64.xml" ContentType="application/vnd.openxmlformats-officedocument.spreadsheetml.table+xml"/>
  <Override PartName="/xl/tables/table75.xml" ContentType="application/vnd.openxmlformats-officedocument.spreadsheetml.table+xml"/>
  <Override PartName="/xl/worksheets/sheet16.xml" ContentType="application/vnd.openxmlformats-officedocument.spreadsheetml.worksheet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tables/table24.xml" ContentType="application/vnd.openxmlformats-officedocument.spreadsheetml.table+xml"/>
  <Override PartName="/xl/charts/chart10.xml" ContentType="application/vnd.openxmlformats-officedocument.drawingml.chart+xml"/>
  <Override PartName="/xl/tables/table35.xml" ContentType="application/vnd.openxmlformats-officedocument.spreadsheetml.table+xml"/>
  <Override PartName="/xl/drawings/drawing9.xml" ContentType="application/vnd.openxmlformats-officedocument.drawing+xml"/>
  <Override PartName="/xl/tables/table53.xml" ContentType="application/vnd.openxmlformats-officedocument.spreadsheetml.table+xml"/>
  <Override PartName="/xl/tables/table71.xml" ContentType="application/vnd.openxmlformats-officedocument.spreadsheetml.table+xml"/>
  <Override PartName="/xl/tables/table82.xml" ContentType="application/vnd.openxmlformats-officedocument.spreadsheetml.table+xml"/>
  <Override PartName="/xl/tables/table13.xml" ContentType="application/vnd.openxmlformats-officedocument.spreadsheetml.table+xml"/>
  <Override PartName="/xl/tables/table42.xml" ContentType="application/vnd.openxmlformats-officedocument.spreadsheetml.table+xml"/>
  <Override PartName="/xl/tables/table60.xml" ContentType="application/vnd.openxmlformats-officedocument.spreadsheetml.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tables/table20.xml" ContentType="application/vnd.openxmlformats-officedocument.spreadsheetml.table+xml"/>
  <Override PartName="/xl/drawings/drawing5.xml" ContentType="application/vnd.openxmlformats-officedocument.drawing+xml"/>
  <Override PartName="/xl/tables/table31.xml" ContentType="application/vnd.openxmlformats-officedocument.spreadsheetml.table+xml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tables/table69.xml" ContentType="application/vnd.openxmlformats-officedocument.spreadsheetml.table+xml"/>
  <Override PartName="/xl/tables/table87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charts/chart15.xml" ContentType="application/vnd.openxmlformats-officedocument.drawingml.chart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76.xml" ContentType="application/vnd.openxmlformats-officedocument.spreadsheetml.table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385" yWindow="3540" windowWidth="18015" windowHeight="7440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25725"/>
</workbook>
</file>

<file path=xl/calcChain.xml><?xml version="1.0" encoding="utf-8"?>
<calcChain xmlns="http://schemas.openxmlformats.org/spreadsheetml/2006/main">
  <c r="M42" i="1"/>
  <c r="M41"/>
  <c r="M38"/>
  <c r="M39" s="1"/>
  <c r="L42"/>
  <c r="L41"/>
  <c r="L38"/>
  <c r="L39" s="1"/>
  <c r="L48"/>
  <c r="L47"/>
  <c r="M48"/>
  <c r="M47"/>
  <c r="E48"/>
  <c r="E47"/>
  <c r="E42"/>
  <c r="E41"/>
  <c r="E38"/>
  <c r="E39" s="1"/>
  <c r="M40" l="1"/>
  <c r="L40"/>
  <c r="E40"/>
  <c r="K42"/>
  <c r="I41"/>
  <c r="I38"/>
  <c r="I39" s="1"/>
  <c r="J41"/>
  <c r="J38"/>
  <c r="J39" s="1"/>
  <c r="K41"/>
  <c r="K38"/>
  <c r="K39" s="1"/>
  <c r="J40" l="1"/>
  <c r="K40"/>
  <c r="F42"/>
  <c r="D42"/>
  <c r="C42"/>
  <c r="N41"/>
  <c r="N38"/>
  <c r="N39" s="1"/>
  <c r="I48"/>
  <c r="I47"/>
  <c r="N42"/>
  <c r="I40"/>
  <c r="N40" l="1"/>
  <c r="J42"/>
  <c r="I42"/>
  <c r="H41"/>
  <c r="H38"/>
  <c r="H39" s="1"/>
  <c r="H42"/>
  <c r="G41"/>
  <c r="G38"/>
  <c r="G39" s="1"/>
  <c r="G42"/>
  <c r="F41"/>
  <c r="F38"/>
  <c r="F39" s="1"/>
  <c r="D41"/>
  <c r="D38"/>
  <c r="D39" s="1"/>
  <c r="C41"/>
  <c r="C38"/>
  <c r="C39" s="1"/>
  <c r="H47"/>
  <c r="H48"/>
  <c r="N48"/>
  <c r="N47"/>
  <c r="K47"/>
  <c r="K48"/>
  <c r="J48"/>
  <c r="G47"/>
  <c r="G48"/>
  <c r="F47"/>
  <c r="D47"/>
  <c r="G40" l="1"/>
  <c r="C40"/>
  <c r="F40"/>
  <c r="D40"/>
  <c r="H40"/>
  <c r="D48"/>
  <c r="F48"/>
  <c r="C48"/>
  <c r="J47" l="1"/>
  <c r="C47"/>
  <c r="N48" i="19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L40" s="1"/>
  <c r="K38"/>
  <c r="K39" s="1"/>
  <c r="K40" s="1"/>
  <c r="J38"/>
  <c r="J39" s="1"/>
  <c r="I38"/>
  <c r="I39" s="1"/>
  <c r="I40" s="1"/>
  <c r="H38"/>
  <c r="H39" s="1"/>
  <c r="G38"/>
  <c r="G39" s="1"/>
  <c r="F38"/>
  <c r="F39" s="1"/>
  <c r="E38"/>
  <c r="E39" s="1"/>
  <c r="D38"/>
  <c r="D39" s="1"/>
  <c r="D40" s="1"/>
  <c r="C38"/>
  <c r="C39" s="1"/>
  <c r="C40" s="1"/>
  <c r="N48" i="1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J39"/>
  <c r="N38"/>
  <c r="N39" s="1"/>
  <c r="M38"/>
  <c r="M39" s="1"/>
  <c r="M40" s="1"/>
  <c r="L38"/>
  <c r="L39" s="1"/>
  <c r="L40" s="1"/>
  <c r="K38"/>
  <c r="K39" s="1"/>
  <c r="J38"/>
  <c r="I38"/>
  <c r="I39" s="1"/>
  <c r="H38"/>
  <c r="H39" s="1"/>
  <c r="H40" s="1"/>
  <c r="G38"/>
  <c r="G39" s="1"/>
  <c r="G40" s="1"/>
  <c r="F38"/>
  <c r="F39" s="1"/>
  <c r="E38"/>
  <c r="E39" s="1"/>
  <c r="E40" s="1"/>
  <c r="D38"/>
  <c r="D39" s="1"/>
  <c r="D40" s="1"/>
  <c r="C38"/>
  <c r="C39" s="1"/>
  <c r="N48" i="17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M39"/>
  <c r="E39"/>
  <c r="N38"/>
  <c r="N39" s="1"/>
  <c r="M38"/>
  <c r="L38"/>
  <c r="L39" s="1"/>
  <c r="K38"/>
  <c r="K39" s="1"/>
  <c r="J38"/>
  <c r="J39" s="1"/>
  <c r="J40" s="1"/>
  <c r="I38"/>
  <c r="I39" s="1"/>
  <c r="I40" s="1"/>
  <c r="H38"/>
  <c r="H39" s="1"/>
  <c r="H40" s="1"/>
  <c r="G38"/>
  <c r="G39" s="1"/>
  <c r="F38"/>
  <c r="F39" s="1"/>
  <c r="E38"/>
  <c r="D38"/>
  <c r="D39" s="1"/>
  <c r="C38"/>
  <c r="C39" s="1"/>
  <c r="N48" i="16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K38"/>
  <c r="K39" s="1"/>
  <c r="J38"/>
  <c r="J39" s="1"/>
  <c r="I38"/>
  <c r="I39" s="1"/>
  <c r="H38"/>
  <c r="H39" s="1"/>
  <c r="G38"/>
  <c r="G39" s="1"/>
  <c r="G40" s="1"/>
  <c r="F38"/>
  <c r="F39" s="1"/>
  <c r="E38"/>
  <c r="E39" s="1"/>
  <c r="E40" s="1"/>
  <c r="D38"/>
  <c r="D39" s="1"/>
  <c r="C38"/>
  <c r="C39" s="1"/>
  <c r="N48" i="15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I38"/>
  <c r="I39" s="1"/>
  <c r="H38"/>
  <c r="H39" s="1"/>
  <c r="H40" s="1"/>
  <c r="G38"/>
  <c r="G39" s="1"/>
  <c r="F38"/>
  <c r="F39" s="1"/>
  <c r="E38"/>
  <c r="E39" s="1"/>
  <c r="D38"/>
  <c r="D39" s="1"/>
  <c r="C38"/>
  <c r="C39" s="1"/>
  <c r="N48" i="14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L40" s="1"/>
  <c r="K38"/>
  <c r="K39" s="1"/>
  <c r="J38"/>
  <c r="J39" s="1"/>
  <c r="I38"/>
  <c r="I39" s="1"/>
  <c r="H38"/>
  <c r="H39" s="1"/>
  <c r="G38"/>
  <c r="G39" s="1"/>
  <c r="G40" s="1"/>
  <c r="F38"/>
  <c r="F39" s="1"/>
  <c r="F40" s="1"/>
  <c r="E38"/>
  <c r="E39" s="1"/>
  <c r="D38"/>
  <c r="D39" s="1"/>
  <c r="C38"/>
  <c r="C39" s="1"/>
  <c r="N48" i="13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M39"/>
  <c r="N38"/>
  <c r="N39" s="1"/>
  <c r="M38"/>
  <c r="L38"/>
  <c r="L39" s="1"/>
  <c r="K38"/>
  <c r="K39" s="1"/>
  <c r="J38"/>
  <c r="J39" s="1"/>
  <c r="J40" s="1"/>
  <c r="I38"/>
  <c r="I39" s="1"/>
  <c r="I40" s="1"/>
  <c r="H38"/>
  <c r="H39" s="1"/>
  <c r="H40" s="1"/>
  <c r="G38"/>
  <c r="G39" s="1"/>
  <c r="F38"/>
  <c r="F39" s="1"/>
  <c r="E38"/>
  <c r="E39" s="1"/>
  <c r="D38"/>
  <c r="D39" s="1"/>
  <c r="C38"/>
  <c r="C39" s="1"/>
  <c r="N48" i="12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K38"/>
  <c r="K39" s="1"/>
  <c r="J38"/>
  <c r="J39" s="1"/>
  <c r="I38"/>
  <c r="I39" s="1"/>
  <c r="H38"/>
  <c r="H39" s="1"/>
  <c r="G38"/>
  <c r="G39" s="1"/>
  <c r="G40" s="1"/>
  <c r="F38"/>
  <c r="F39" s="1"/>
  <c r="E38"/>
  <c r="E39" s="1"/>
  <c r="E40" s="1"/>
  <c r="D38"/>
  <c r="D39" s="1"/>
  <c r="C38"/>
  <c r="C39" s="1"/>
  <c r="N48" i="11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M38"/>
  <c r="L38"/>
  <c r="L39" s="1"/>
  <c r="K38"/>
  <c r="K39" s="1"/>
  <c r="J38"/>
  <c r="J39" s="1"/>
  <c r="I38"/>
  <c r="I39" s="1"/>
  <c r="H38"/>
  <c r="H39" s="1"/>
  <c r="H40" s="1"/>
  <c r="G38"/>
  <c r="G39" s="1"/>
  <c r="F38"/>
  <c r="F39" s="1"/>
  <c r="E38"/>
  <c r="E39" s="1"/>
  <c r="D38"/>
  <c r="D39" s="1"/>
  <c r="C38"/>
  <c r="C39" s="1"/>
  <c r="N48" i="10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N40" s="1"/>
  <c r="M38"/>
  <c r="L38"/>
  <c r="L39" s="1"/>
  <c r="L40" s="1"/>
  <c r="K38"/>
  <c r="K39" s="1"/>
  <c r="J38"/>
  <c r="J39" s="1"/>
  <c r="I38"/>
  <c r="I39" s="1"/>
  <c r="H38"/>
  <c r="H39" s="1"/>
  <c r="G38"/>
  <c r="G39" s="1"/>
  <c r="G40" s="1"/>
  <c r="F38"/>
  <c r="F39" s="1"/>
  <c r="F40" s="1"/>
  <c r="E38"/>
  <c r="E39" s="1"/>
  <c r="D38"/>
  <c r="D39" s="1"/>
  <c r="D40" s="1"/>
  <c r="C38"/>
  <c r="C39" s="1"/>
  <c r="N48" i="9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E39"/>
  <c r="N38"/>
  <c r="N39" s="1"/>
  <c r="M38"/>
  <c r="L38"/>
  <c r="L39" s="1"/>
  <c r="K38"/>
  <c r="K39" s="1"/>
  <c r="J38"/>
  <c r="J39" s="1"/>
  <c r="J40" s="1"/>
  <c r="I38"/>
  <c r="I39" s="1"/>
  <c r="I40" s="1"/>
  <c r="H38"/>
  <c r="H39" s="1"/>
  <c r="H40" s="1"/>
  <c r="G38"/>
  <c r="G39" s="1"/>
  <c r="F38"/>
  <c r="F39" s="1"/>
  <c r="E38"/>
  <c r="D38"/>
  <c r="D39" s="1"/>
  <c r="C38"/>
  <c r="C39" s="1"/>
  <c r="N48" i="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M40" s="1"/>
  <c r="L38"/>
  <c r="L39" s="1"/>
  <c r="K38"/>
  <c r="K39" s="1"/>
  <c r="J38"/>
  <c r="J39" s="1"/>
  <c r="I38"/>
  <c r="I39" s="1"/>
  <c r="H38"/>
  <c r="H39" s="1"/>
  <c r="G38"/>
  <c r="G39" s="1"/>
  <c r="G40" s="1"/>
  <c r="F38"/>
  <c r="F39" s="1"/>
  <c r="E38"/>
  <c r="E39" s="1"/>
  <c r="E40" s="1"/>
  <c r="D38"/>
  <c r="D39" s="1"/>
  <c r="C38"/>
  <c r="C39" s="1"/>
  <c r="N48" i="7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I38"/>
  <c r="I39" s="1"/>
  <c r="H38"/>
  <c r="H39" s="1"/>
  <c r="H40" s="1"/>
  <c r="G38"/>
  <c r="G39" s="1"/>
  <c r="F38"/>
  <c r="F39" s="1"/>
  <c r="E38"/>
  <c r="E39" s="1"/>
  <c r="D38"/>
  <c r="D39" s="1"/>
  <c r="C38"/>
  <c r="C39" s="1"/>
  <c r="N48" i="6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L38"/>
  <c r="L39" s="1"/>
  <c r="L40" s="1"/>
  <c r="K38"/>
  <c r="K39" s="1"/>
  <c r="J38"/>
  <c r="J39" s="1"/>
  <c r="I38"/>
  <c r="I39" s="1"/>
  <c r="H38"/>
  <c r="H39" s="1"/>
  <c r="G38"/>
  <c r="G39" s="1"/>
  <c r="G40" s="1"/>
  <c r="F38"/>
  <c r="F39" s="1"/>
  <c r="F40" s="1"/>
  <c r="E38"/>
  <c r="E39" s="1"/>
  <c r="D38"/>
  <c r="D39" s="1"/>
  <c r="D40" s="1"/>
  <c r="C38"/>
  <c r="C39" s="1"/>
  <c r="N48" i="5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E39"/>
  <c r="N38"/>
  <c r="N39" s="1"/>
  <c r="M38"/>
  <c r="M39" s="1"/>
  <c r="L38"/>
  <c r="L39" s="1"/>
  <c r="K38"/>
  <c r="K39" s="1"/>
  <c r="J38"/>
  <c r="J39" s="1"/>
  <c r="J40" s="1"/>
  <c r="I38"/>
  <c r="I39" s="1"/>
  <c r="I40" s="1"/>
  <c r="H38"/>
  <c r="H39" s="1"/>
  <c r="H40" s="1"/>
  <c r="G38"/>
  <c r="G39" s="1"/>
  <c r="F38"/>
  <c r="F39" s="1"/>
  <c r="E38"/>
  <c r="D38"/>
  <c r="D39" s="1"/>
  <c r="C38"/>
  <c r="C39" s="1"/>
  <c r="N48" i="4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I38"/>
  <c r="I39" s="1"/>
  <c r="H38"/>
  <c r="H39" s="1"/>
  <c r="G38"/>
  <c r="G39" s="1"/>
  <c r="G40" s="1"/>
  <c r="F38"/>
  <c r="F39" s="1"/>
  <c r="E38"/>
  <c r="E39" s="1"/>
  <c r="D38"/>
  <c r="D39" s="1"/>
  <c r="C38"/>
  <c r="C39" s="1"/>
  <c r="N48" i="3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K40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C40" s="1"/>
  <c r="H40" i="19" l="1"/>
  <c r="E40"/>
  <c r="F40" i="18"/>
  <c r="N40"/>
  <c r="D40" i="14"/>
  <c r="N40"/>
  <c r="D40" i="5"/>
  <c r="F40"/>
  <c r="N40"/>
  <c r="D40" i="4"/>
  <c r="F40"/>
  <c r="N40"/>
  <c r="L40"/>
  <c r="C40"/>
  <c r="I40" i="8"/>
  <c r="N40" i="9"/>
  <c r="I40" i="16"/>
  <c r="F40" i="17"/>
  <c r="I40" i="4"/>
  <c r="G40" i="5"/>
  <c r="J40" i="8"/>
  <c r="G40" i="9"/>
  <c r="J40" i="12"/>
  <c r="G40" i="13"/>
  <c r="J40" i="16"/>
  <c r="G40" i="17"/>
  <c r="F40" i="19"/>
  <c r="N40"/>
  <c r="J40" i="4"/>
  <c r="D40" i="7"/>
  <c r="L40"/>
  <c r="D40" i="8"/>
  <c r="L40"/>
  <c r="C40"/>
  <c r="K40"/>
  <c r="C40" i="9"/>
  <c r="K40"/>
  <c r="D40" i="11"/>
  <c r="L40"/>
  <c r="D40" i="12"/>
  <c r="L40"/>
  <c r="C40"/>
  <c r="K40"/>
  <c r="C40" i="13"/>
  <c r="K40"/>
  <c r="D40" i="15"/>
  <c r="L40"/>
  <c r="D40" i="16"/>
  <c r="L40"/>
  <c r="C40"/>
  <c r="K40"/>
  <c r="C40" i="17"/>
  <c r="K40"/>
  <c r="G40" i="19"/>
  <c r="F40" i="9"/>
  <c r="I40" i="12"/>
  <c r="N40" i="13"/>
  <c r="D40" i="3"/>
  <c r="L40"/>
  <c r="K40" i="4"/>
  <c r="C40" i="5"/>
  <c r="K40"/>
  <c r="H40" i="6"/>
  <c r="E40" i="7"/>
  <c r="M40"/>
  <c r="H40" i="10"/>
  <c r="E40" i="11"/>
  <c r="M40"/>
  <c r="H40" i="14"/>
  <c r="E40" i="15"/>
  <c r="M40"/>
  <c r="I40" i="18"/>
  <c r="H40" i="3"/>
  <c r="E40"/>
  <c r="M40"/>
  <c r="E40" i="4"/>
  <c r="M40"/>
  <c r="I40" i="6"/>
  <c r="I40" i="7"/>
  <c r="F40"/>
  <c r="N40"/>
  <c r="F40" i="8"/>
  <c r="N40"/>
  <c r="I40" i="10"/>
  <c r="I40" i="11"/>
  <c r="F40"/>
  <c r="N40"/>
  <c r="F40" i="12"/>
  <c r="N40"/>
  <c r="I40" i="14"/>
  <c r="I40" i="15"/>
  <c r="F40"/>
  <c r="N40"/>
  <c r="F40" i="16"/>
  <c r="N40"/>
  <c r="J40" i="18"/>
  <c r="J40" i="19"/>
  <c r="H40" i="4"/>
  <c r="N40" i="17"/>
  <c r="M40" i="19"/>
  <c r="I40" i="3"/>
  <c r="F40"/>
  <c r="J40" i="6"/>
  <c r="J40" i="11"/>
  <c r="G40"/>
  <c r="K40" i="18"/>
  <c r="J40" i="3"/>
  <c r="G40"/>
  <c r="L40" i="5"/>
  <c r="C40" i="6"/>
  <c r="K40"/>
  <c r="C40" i="7"/>
  <c r="K40"/>
  <c r="D40" i="9"/>
  <c r="L40"/>
  <c r="C40" i="10"/>
  <c r="K40"/>
  <c r="C40" i="11"/>
  <c r="K40"/>
  <c r="D40" i="13"/>
  <c r="L40"/>
  <c r="C40" i="14"/>
  <c r="K40"/>
  <c r="C40" i="15"/>
  <c r="K40"/>
  <c r="D40" i="17"/>
  <c r="L40"/>
  <c r="F40" i="13"/>
  <c r="N40" i="3"/>
  <c r="J40" i="7"/>
  <c r="G40"/>
  <c r="J40" i="10"/>
  <c r="J40" i="14"/>
  <c r="J40" i="15"/>
  <c r="G40"/>
  <c r="E40" i="5"/>
  <c r="M40"/>
  <c r="E40" i="6"/>
  <c r="M40"/>
  <c r="H40" i="8"/>
  <c r="E40" i="9"/>
  <c r="M40"/>
  <c r="E40" i="10"/>
  <c r="M40"/>
  <c r="H40" i="12"/>
  <c r="E40" i="13"/>
  <c r="M40"/>
  <c r="E40" i="14"/>
  <c r="M40"/>
  <c r="H40" i="16"/>
  <c r="E40" i="17"/>
  <c r="M40"/>
  <c r="C40" i="18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10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charset val="1"/>
          </rPr>
          <t>Rikard Pavelic:</t>
        </r>
        <r>
          <rPr>
            <sz val="9"/>
            <color indexed="81"/>
            <rFont val="Tahoma"/>
            <charset val="1"/>
          </rPr>
          <t xml:space="preserve">
It's much slower with vanila POCO classes</t>
        </r>
      </text>
    </comment>
  </commentList>
</comments>
</file>

<file path=xl/comments11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charset val="1"/>
          </rPr>
          <t>Rikard Pavelic:</t>
        </r>
        <r>
          <rPr>
            <sz val="9"/>
            <color indexed="81"/>
            <rFont val="Tahoma"/>
            <charset val="1"/>
          </rPr>
          <t xml:space="preserve">
It's much slower with vanila POCO classes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4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5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6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7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8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9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sharedStrings.xml><?xml version="1.0" encoding="utf-8"?>
<sst xmlns="http://schemas.openxmlformats.org/spreadsheetml/2006/main" count="1545" uniqueCount="55">
  <si>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</si>
  <si>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</si>
  <si>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</si>
  <si>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</si>
  <si>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</si>
  <si>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</si>
  <si>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</si>
  <si>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</si>
  <si>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</si>
  <si>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</si>
  <si>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</si>
  <si>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</si>
  <si>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</si>
  <si>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</si>
  <si>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</si>
  <si>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Gson</t>
  </si>
  <si>
    <t>Revenj (size)</t>
  </si>
  <si>
    <t>Service Stack (size)</t>
  </si>
  <si>
    <t>Jil (size)</t>
  </si>
  <si>
    <t>NetJSON (size)</t>
  </si>
  <si>
    <t>DSL Platform Java (size)</t>
  </si>
  <si>
    <t>Gson (size)</t>
  </si>
  <si>
    <t>NetJSON</t>
  </si>
  <si>
    <t>Jil</t>
  </si>
  <si>
    <t>Instance</t>
  </si>
  <si>
    <t>All</t>
  </si>
  <si>
    <t>Jackson afterburner</t>
  </si>
  <si>
    <t>Genson</t>
  </si>
  <si>
    <t>Genson (size)</t>
  </si>
  <si>
    <t>fastJSON</t>
  </si>
  <si>
    <t>Alibaba</t>
  </si>
  <si>
    <t>Boon</t>
  </si>
  <si>
    <t>fastJSON (size)</t>
  </si>
  <si>
    <t>Boon (size)</t>
  </si>
  <si>
    <t>Alibaba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</si>
  <si>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</si>
  <si>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</si>
  <si>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</si>
  <si>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</si>
  <si>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</si>
  <si>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</si>
  <si>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</si>
  <si>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</si>
  <si>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</si>
  <si>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</si>
  <si>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</si>
  <si>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</si>
  <si>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</si>
  <si>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</si>
  <si>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</si>
  <si>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</si>
  <si>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</si>
  <si>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</si>
  <si>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Newtonsoft (DSL model)</t>
  </si>
  <si>
    <t>removed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</si>
</sst>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74.200000000000017</c:v>
                </c:pt>
                <c:pt idx="1">
                  <c:v>2.5999999999999943</c:v>
                </c:pt>
                <c:pt idx="2">
                  <c:v>8.2000000000000171</c:v>
                </c:pt>
                <c:pt idx="3">
                  <c:v>115.59999999999997</c:v>
                </c:pt>
                <c:pt idx="4">
                  <c:v>164.99999999999997</c:v>
                </c:pt>
                <c:pt idx="5">
                  <c:v>50.400000000000006</c:v>
                </c:pt>
                <c:pt idx="6">
                  <c:v>63.599999999999994</c:v>
                </c:pt>
                <c:pt idx="7">
                  <c:v>0</c:v>
                </c:pt>
                <c:pt idx="8">
                  <c:v>41</c:v>
                </c:pt>
                <c:pt idx="9">
                  <c:v>67</c:v>
                </c:pt>
                <c:pt idx="10">
                  <c:v>113.2</c:v>
                </c:pt>
                <c:pt idx="11">
                  <c:v>24.6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15</c:v>
                </c:pt>
                <c:pt idx="1">
                  <c:v>7.5999999999999943</c:v>
                </c:pt>
                <c:pt idx="2">
                  <c:v>7.7999999999999829</c:v>
                </c:pt>
                <c:pt idx="3">
                  <c:v>15.200000000000045</c:v>
                </c:pt>
                <c:pt idx="4">
                  <c:v>65.400000000000034</c:v>
                </c:pt>
                <c:pt idx="5">
                  <c:v>1.1999999999999886</c:v>
                </c:pt>
                <c:pt idx="6">
                  <c:v>35.200000000000003</c:v>
                </c:pt>
                <c:pt idx="7">
                  <c:v>1.4</c:v>
                </c:pt>
                <c:pt idx="8">
                  <c:v>3.7999999999999972</c:v>
                </c:pt>
                <c:pt idx="9">
                  <c:v>32</c:v>
                </c:pt>
                <c:pt idx="10">
                  <c:v>20.600000000000009</c:v>
                </c:pt>
                <c:pt idx="11">
                  <c:v>2.7999999999999972</c:v>
                </c:pt>
              </c:numCache>
            </c:numRef>
          </c:val>
        </c:ser>
        <c:axId val="98896512"/>
        <c:axId val="98914688"/>
      </c:barChart>
      <c:catAx>
        <c:axId val="98896512"/>
        <c:scaling>
          <c:orientation val="minMax"/>
        </c:scaling>
        <c:axPos val="b"/>
        <c:majorTickMark val="none"/>
        <c:tickLblPos val="nextTo"/>
        <c:crossAx val="98914688"/>
        <c:crosses val="autoZero"/>
        <c:auto val="1"/>
        <c:lblAlgn val="ctr"/>
        <c:lblOffset val="100"/>
      </c:catAx>
      <c:valAx>
        <c:axId val="98914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98896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3346489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3346883</c:v>
                </c:pt>
                <c:pt idx="7" formatCode="#,##0.0">
                  <c:v>3346868</c:v>
                </c:pt>
                <c:pt idx="8" formatCode="#,##0.0">
                  <c:v>3346889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axId val="135543808"/>
        <c:axId val="135566080"/>
      </c:barChart>
      <c:catAx>
        <c:axId val="135543808"/>
        <c:scaling>
          <c:orientation val="minMax"/>
        </c:scaling>
        <c:axPos val="b"/>
        <c:majorTickMark val="none"/>
        <c:tickLblPos val="nextTo"/>
        <c:crossAx val="135566080"/>
        <c:crosses val="autoZero"/>
        <c:auto val="1"/>
        <c:lblAlgn val="ctr"/>
        <c:lblOffset val="100"/>
      </c:catAx>
      <c:valAx>
        <c:axId val="135566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35543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5901.4</c:v>
                </c:pt>
                <c:pt idx="1">
                  <c:v>1858.4</c:v>
                </c:pt>
                <c:pt idx="2">
                  <c:v>4151.2</c:v>
                </c:pt>
                <c:pt idx="3">
                  <c:v>5044.7999999999993</c:v>
                </c:pt>
                <c:pt idx="4">
                  <c:v>5018</c:v>
                </c:pt>
                <c:pt idx="5">
                  <c:v>2046.4</c:v>
                </c:pt>
                <c:pt idx="6">
                  <c:v>879.2</c:v>
                </c:pt>
                <c:pt idx="7">
                  <c:v>438.00000000000006</c:v>
                </c:pt>
                <c:pt idx="8">
                  <c:v>3432.6</c:v>
                </c:pt>
                <c:pt idx="9">
                  <c:v>1354.2</c:v>
                </c:pt>
                <c:pt idx="10">
                  <c:v>930.4</c:v>
                </c:pt>
                <c:pt idx="11">
                  <c:v>1611.8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8983.8000000000011</c:v>
                </c:pt>
                <c:pt idx="1">
                  <c:v>3903.6000000000004</c:v>
                </c:pt>
                <c:pt idx="2">
                  <c:v>8260.3999999999978</c:v>
                </c:pt>
                <c:pt idx="3">
                  <c:v>6785</c:v>
                </c:pt>
                <c:pt idx="4">
                  <c:v>2646.8</c:v>
                </c:pt>
                <c:pt idx="5">
                  <c:v>2334.9999999999995</c:v>
                </c:pt>
                <c:pt idx="6">
                  <c:v>1307.5999999999999</c:v>
                </c:pt>
                <c:pt idx="7">
                  <c:v>353.39999999999992</c:v>
                </c:pt>
                <c:pt idx="8">
                  <c:v>4100.2000000000007</c:v>
                </c:pt>
                <c:pt idx="9">
                  <c:v>6374.8</c:v>
                </c:pt>
                <c:pt idx="10">
                  <c:v>1448.8000000000002</c:v>
                </c:pt>
                <c:pt idx="11">
                  <c:v>1657.6</c:v>
                </c:pt>
              </c:numCache>
            </c:numRef>
          </c:val>
        </c:ser>
        <c:axId val="99142272"/>
        <c:axId val="99152256"/>
      </c:barChart>
      <c:catAx>
        <c:axId val="99142272"/>
        <c:scaling>
          <c:orientation val="minMax"/>
        </c:scaling>
        <c:axPos val="b"/>
        <c:majorTickMark val="none"/>
        <c:tickLblPos val="nextTo"/>
        <c:crossAx val="99152256"/>
        <c:crosses val="autoZero"/>
        <c:auto val="1"/>
        <c:lblAlgn val="ctr"/>
        <c:lblOffset val="100"/>
      </c:catAx>
      <c:valAx>
        <c:axId val="99152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9142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36444889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36448883</c:v>
                </c:pt>
                <c:pt idx="7" formatCode="#,##0.0">
                  <c:v>36448868</c:v>
                </c:pt>
                <c:pt idx="8" formatCode="#,##0.0">
                  <c:v>36448889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axId val="135893760"/>
        <c:axId val="135895296"/>
      </c:barChart>
      <c:catAx>
        <c:axId val="135893760"/>
        <c:scaling>
          <c:orientation val="minMax"/>
        </c:scaling>
        <c:axPos val="b"/>
        <c:majorTickMark val="none"/>
        <c:tickLblPos val="nextTo"/>
        <c:crossAx val="135895296"/>
        <c:crosses val="autoZero"/>
        <c:auto val="1"/>
        <c:lblAlgn val="ctr"/>
        <c:lblOffset val="100"/>
      </c:catAx>
      <c:valAx>
        <c:axId val="135895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35893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60120</c:v>
                </c:pt>
                <c:pt idx="1">
                  <c:v>19588</c:v>
                </c:pt>
                <c:pt idx="2">
                  <c:v>41627.4</c:v>
                </c:pt>
                <c:pt idx="3">
                  <c:v>49885</c:v>
                </c:pt>
                <c:pt idx="4">
                  <c:v>50049.200000000004</c:v>
                </c:pt>
                <c:pt idx="5">
                  <c:v>19547.399999999998</c:v>
                </c:pt>
                <c:pt idx="6">
                  <c:v>7089.2000000000007</c:v>
                </c:pt>
                <c:pt idx="7">
                  <c:v>3722</c:v>
                </c:pt>
                <c:pt idx="8">
                  <c:v>34146</c:v>
                </c:pt>
                <c:pt idx="9">
                  <c:v>11724.800000000001</c:v>
                </c:pt>
                <c:pt idx="10">
                  <c:v>7142.1999999999989</c:v>
                </c:pt>
                <c:pt idx="11">
                  <c:v>13867.4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92156.4</c:v>
                </c:pt>
                <c:pt idx="1">
                  <c:v>38464.400000000001</c:v>
                </c:pt>
                <c:pt idx="2">
                  <c:v>84276.4</c:v>
                </c:pt>
                <c:pt idx="3">
                  <c:v>69515.600000000006</c:v>
                </c:pt>
                <c:pt idx="4">
                  <c:v>25278.399999999994</c:v>
                </c:pt>
                <c:pt idx="5">
                  <c:v>25313.599999999999</c:v>
                </c:pt>
                <c:pt idx="6">
                  <c:v>10270.199999999999</c:v>
                </c:pt>
                <c:pt idx="7">
                  <c:v>2721.4000000000005</c:v>
                </c:pt>
                <c:pt idx="8">
                  <c:v>40919.400000000009</c:v>
                </c:pt>
                <c:pt idx="9">
                  <c:v>67461.400000000009</c:v>
                </c:pt>
                <c:pt idx="10">
                  <c:v>14500.600000000004</c:v>
                </c:pt>
                <c:pt idx="11">
                  <c:v>18845.400000000001</c:v>
                </c:pt>
              </c:numCache>
            </c:numRef>
          </c:val>
        </c:ser>
        <c:axId val="136208768"/>
        <c:axId val="136210304"/>
      </c:barChart>
      <c:catAx>
        <c:axId val="136208768"/>
        <c:scaling>
          <c:orientation val="minMax"/>
        </c:scaling>
        <c:axPos val="b"/>
        <c:majorTickMark val="none"/>
        <c:tickLblPos val="nextTo"/>
        <c:crossAx val="136210304"/>
        <c:crosses val="autoZero"/>
        <c:auto val="1"/>
        <c:lblAlgn val="ctr"/>
        <c:lblOffset val="100"/>
      </c:catAx>
      <c:valAx>
        <c:axId val="136210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36208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394428889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394468883</c:v>
                </c:pt>
                <c:pt idx="7" formatCode="#,##0.0">
                  <c:v>394468868</c:v>
                </c:pt>
                <c:pt idx="8" formatCode="#,##0.0">
                  <c:v>394468889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axId val="136227072"/>
        <c:axId val="136228864"/>
      </c:barChart>
      <c:catAx>
        <c:axId val="136227072"/>
        <c:scaling>
          <c:orientation val="minMax"/>
        </c:scaling>
        <c:axPos val="b"/>
        <c:majorTickMark val="none"/>
        <c:tickLblPos val="nextTo"/>
        <c:crossAx val="136228864"/>
        <c:crosses val="autoZero"/>
        <c:auto val="1"/>
        <c:lblAlgn val="ctr"/>
        <c:lblOffset val="100"/>
      </c:catAx>
      <c:valAx>
        <c:axId val="136228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36227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559.79999999999995</c:v>
                </c:pt>
                <c:pt idx="1">
                  <c:v>208.39999999999998</c:v>
                </c:pt>
                <c:pt idx="2">
                  <c:v>1075.2</c:v>
                </c:pt>
                <c:pt idx="3">
                  <c:v>579.20000000000005</c:v>
                </c:pt>
                <c:pt idx="4">
                  <c:v>580.20000000000005</c:v>
                </c:pt>
                <c:pt idx="5">
                  <c:v>0</c:v>
                </c:pt>
                <c:pt idx="6">
                  <c:v>270.60000000000002</c:v>
                </c:pt>
                <c:pt idx="7">
                  <c:v>71.400000000000034</c:v>
                </c:pt>
                <c:pt idx="8">
                  <c:v>579.4</c:v>
                </c:pt>
                <c:pt idx="9">
                  <c:v>305.19999999999993</c:v>
                </c:pt>
                <c:pt idx="10">
                  <c:v>0</c:v>
                </c:pt>
                <c:pt idx="11">
                  <c:v>526.6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1115.8</c:v>
                </c:pt>
                <c:pt idx="1">
                  <c:v>419.6</c:v>
                </c:pt>
                <c:pt idx="2">
                  <c:v>1075.8</c:v>
                </c:pt>
                <c:pt idx="3">
                  <c:v>1080</c:v>
                </c:pt>
                <c:pt idx="4">
                  <c:v>444.79999999999995</c:v>
                </c:pt>
                <c:pt idx="5">
                  <c:v>0</c:v>
                </c:pt>
                <c:pt idx="6">
                  <c:v>449.59999999999991</c:v>
                </c:pt>
                <c:pt idx="7">
                  <c:v>70.800000000000011</c:v>
                </c:pt>
                <c:pt idx="8">
                  <c:v>457.19999999999993</c:v>
                </c:pt>
                <c:pt idx="9">
                  <c:v>0</c:v>
                </c:pt>
                <c:pt idx="10">
                  <c:v>0</c:v>
                </c:pt>
                <c:pt idx="11">
                  <c:v>736.4000000000002</c:v>
                </c:pt>
              </c:numCache>
            </c:numRef>
          </c:val>
        </c:ser>
        <c:axId val="114698112"/>
        <c:axId val="114699648"/>
      </c:barChart>
      <c:catAx>
        <c:axId val="114698112"/>
        <c:scaling>
          <c:orientation val="minMax"/>
        </c:scaling>
        <c:axPos val="b"/>
        <c:majorTickMark val="none"/>
        <c:tickLblPos val="nextTo"/>
        <c:crossAx val="114699648"/>
        <c:crosses val="autoZero"/>
        <c:auto val="1"/>
        <c:lblAlgn val="ctr"/>
        <c:lblOffset val="100"/>
      </c:catAx>
      <c:valAx>
        <c:axId val="114699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14698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10738890</c:v>
                </c:pt>
                <c:pt idx="3">
                  <c:v>11838890</c:v>
                </c:pt>
                <c:pt idx="4" formatCode="#,##0.0">
                  <c:v>12238890</c:v>
                </c:pt>
                <c:pt idx="5" formatCode="#,##0.0">
                  <c:v>0</c:v>
                </c:pt>
                <c:pt idx="6" formatCode="#,##0.0">
                  <c:v>10188890</c:v>
                </c:pt>
                <c:pt idx="7" formatCode="#,##0.0">
                  <c:v>10188890</c:v>
                </c:pt>
                <c:pt idx="8" formatCode="#,##0.0">
                  <c:v>10938890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axId val="114724864"/>
        <c:axId val="114726400"/>
      </c:barChart>
      <c:catAx>
        <c:axId val="114724864"/>
        <c:scaling>
          <c:orientation val="minMax"/>
        </c:scaling>
        <c:axPos val="b"/>
        <c:majorTickMark val="none"/>
        <c:tickLblPos val="nextTo"/>
        <c:crossAx val="114726400"/>
        <c:crosses val="autoZero"/>
        <c:auto val="1"/>
        <c:lblAlgn val="ctr"/>
        <c:lblOffset val="100"/>
      </c:catAx>
      <c:valAx>
        <c:axId val="114726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1472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5552.4000000000005</c:v>
                </c:pt>
                <c:pt idx="1">
                  <c:v>2064.6</c:v>
                </c:pt>
                <c:pt idx="2">
                  <c:v>10457</c:v>
                </c:pt>
                <c:pt idx="3">
                  <c:v>5858.8</c:v>
                </c:pt>
                <c:pt idx="4">
                  <c:v>5488.5999999999995</c:v>
                </c:pt>
                <c:pt idx="5">
                  <c:v>0</c:v>
                </c:pt>
                <c:pt idx="6">
                  <c:v>1910.1999999999998</c:v>
                </c:pt>
                <c:pt idx="7">
                  <c:v>402.40000000000009</c:v>
                </c:pt>
                <c:pt idx="8">
                  <c:v>4744.3999999999996</c:v>
                </c:pt>
                <c:pt idx="9">
                  <c:v>2299.1999999999998</c:v>
                </c:pt>
                <c:pt idx="10">
                  <c:v>0</c:v>
                </c:pt>
                <c:pt idx="11">
                  <c:v>3177.4000000000005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11148.199999999997</c:v>
                </c:pt>
                <c:pt idx="1">
                  <c:v>4278</c:v>
                </c:pt>
                <c:pt idx="2">
                  <c:v>11034.999999999998</c:v>
                </c:pt>
                <c:pt idx="3">
                  <c:v>10613.2</c:v>
                </c:pt>
                <c:pt idx="4">
                  <c:v>4184.8000000000011</c:v>
                </c:pt>
                <c:pt idx="5">
                  <c:v>0</c:v>
                </c:pt>
                <c:pt idx="6">
                  <c:v>2487.4000000000005</c:v>
                </c:pt>
                <c:pt idx="7">
                  <c:v>690.19999999999982</c:v>
                </c:pt>
                <c:pt idx="8">
                  <c:v>4230</c:v>
                </c:pt>
                <c:pt idx="9">
                  <c:v>0</c:v>
                </c:pt>
                <c:pt idx="10">
                  <c:v>0</c:v>
                </c:pt>
                <c:pt idx="11">
                  <c:v>4893.7999999999993</c:v>
                </c:pt>
              </c:numCache>
            </c:numRef>
          </c:val>
        </c:ser>
        <c:axId val="142790016"/>
        <c:axId val="142935168"/>
      </c:barChart>
      <c:catAx>
        <c:axId val="142790016"/>
        <c:scaling>
          <c:orientation val="minMax"/>
        </c:scaling>
        <c:axPos val="b"/>
        <c:majorTickMark val="none"/>
        <c:tickLblPos val="nextTo"/>
        <c:crossAx val="142935168"/>
        <c:crosses val="autoZero"/>
        <c:auto val="1"/>
        <c:lblAlgn val="ctr"/>
        <c:lblOffset val="100"/>
      </c:catAx>
      <c:valAx>
        <c:axId val="142935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42790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108388890</c:v>
                </c:pt>
                <c:pt idx="3">
                  <c:v>119388890</c:v>
                </c:pt>
                <c:pt idx="4" formatCode="#,##0.0">
                  <c:v>123388890</c:v>
                </c:pt>
                <c:pt idx="5" formatCode="#,##0.0">
                  <c:v>0</c:v>
                </c:pt>
                <c:pt idx="6" formatCode="#,##0.0">
                  <c:v>102888890</c:v>
                </c:pt>
                <c:pt idx="7" formatCode="#,##0.0">
                  <c:v>102888890</c:v>
                </c:pt>
                <c:pt idx="8" formatCode="#,##0.0">
                  <c:v>110388890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axId val="142960128"/>
        <c:axId val="142961664"/>
      </c:barChart>
      <c:catAx>
        <c:axId val="142960128"/>
        <c:scaling>
          <c:orientation val="minMax"/>
        </c:scaling>
        <c:axPos val="b"/>
        <c:majorTickMark val="none"/>
        <c:tickLblPos val="nextTo"/>
        <c:crossAx val="142961664"/>
        <c:crosses val="autoZero"/>
        <c:auto val="1"/>
        <c:lblAlgn val="ctr"/>
        <c:lblOffset val="100"/>
      </c:catAx>
      <c:valAx>
        <c:axId val="142961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42960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58066.8</c:v>
                </c:pt>
                <c:pt idx="1">
                  <c:v>20351.199999999997</c:v>
                </c:pt>
                <c:pt idx="2">
                  <c:v>107003.20000000001</c:v>
                </c:pt>
                <c:pt idx="3">
                  <c:v>58285.2</c:v>
                </c:pt>
                <c:pt idx="4">
                  <c:v>54871.000000000007</c:v>
                </c:pt>
                <c:pt idx="5">
                  <c:v>0</c:v>
                </c:pt>
                <c:pt idx="6">
                  <c:v>14421.400000000001</c:v>
                </c:pt>
                <c:pt idx="7">
                  <c:v>3348</c:v>
                </c:pt>
                <c:pt idx="8">
                  <c:v>48486</c:v>
                </c:pt>
                <c:pt idx="9">
                  <c:v>19701.799999999996</c:v>
                </c:pt>
                <c:pt idx="10">
                  <c:v>0</c:v>
                </c:pt>
                <c:pt idx="11">
                  <c:v>30369.599999999999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111022.60000000002</c:v>
                </c:pt>
                <c:pt idx="1">
                  <c:v>42459.400000000009</c:v>
                </c:pt>
                <c:pt idx="2">
                  <c:v>106663.6</c:v>
                </c:pt>
                <c:pt idx="3">
                  <c:v>107222.59999999998</c:v>
                </c:pt>
                <c:pt idx="4">
                  <c:v>43987.4</c:v>
                </c:pt>
                <c:pt idx="5">
                  <c:v>0</c:v>
                </c:pt>
                <c:pt idx="6">
                  <c:v>25852.800000000003</c:v>
                </c:pt>
                <c:pt idx="7">
                  <c:v>4842</c:v>
                </c:pt>
                <c:pt idx="8">
                  <c:v>40173.600000000006</c:v>
                </c:pt>
                <c:pt idx="9">
                  <c:v>0</c:v>
                </c:pt>
                <c:pt idx="10">
                  <c:v>0</c:v>
                </c:pt>
                <c:pt idx="11">
                  <c:v>50410.399999999987</c:v>
                </c:pt>
              </c:numCache>
            </c:numRef>
          </c:val>
        </c:ser>
        <c:axId val="142808960"/>
        <c:axId val="142964992"/>
      </c:barChart>
      <c:catAx>
        <c:axId val="142808960"/>
        <c:scaling>
          <c:orientation val="minMax"/>
        </c:scaling>
        <c:axPos val="b"/>
        <c:majorTickMark val="none"/>
        <c:tickLblPos val="nextTo"/>
        <c:crossAx val="142964992"/>
        <c:crosses val="autoZero"/>
        <c:auto val="1"/>
        <c:lblAlgn val="ctr"/>
        <c:lblOffset val="100"/>
      </c:catAx>
      <c:valAx>
        <c:axId val="142964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2808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40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28</c:v>
                </c:pt>
                <c:pt idx="7" formatCode="#,##0.0">
                  <c:v>28</c:v>
                </c:pt>
                <c:pt idx="8" formatCode="#,##0.0">
                  <c:v>40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axId val="98943744"/>
        <c:axId val="98945280"/>
      </c:barChart>
      <c:catAx>
        <c:axId val="98943744"/>
        <c:scaling>
          <c:orientation val="minMax"/>
        </c:scaling>
        <c:axPos val="b"/>
        <c:majorTickMark val="none"/>
        <c:tickLblPos val="nextTo"/>
        <c:crossAx val="98945280"/>
        <c:crosses val="autoZero"/>
        <c:auto val="1"/>
        <c:lblAlgn val="ctr"/>
        <c:lblOffset val="100"/>
      </c:catAx>
      <c:valAx>
        <c:axId val="9894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98943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1093888890</c:v>
                </c:pt>
                <c:pt idx="3">
                  <c:v>1203888890</c:v>
                </c:pt>
                <c:pt idx="4" formatCode="#,##0.0">
                  <c:v>1243888890</c:v>
                </c:pt>
                <c:pt idx="5" formatCode="#,##0.0">
                  <c:v>0</c:v>
                </c:pt>
                <c:pt idx="6" formatCode="#,##0.0">
                  <c:v>1038888890</c:v>
                </c:pt>
                <c:pt idx="7" formatCode="#,##0.0">
                  <c:v>1038888890</c:v>
                </c:pt>
                <c:pt idx="8" formatCode="#,##0.0">
                  <c:v>1113888890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axId val="142896512"/>
        <c:axId val="142926976"/>
      </c:barChart>
      <c:catAx>
        <c:axId val="142896512"/>
        <c:scaling>
          <c:orientation val="minMax"/>
        </c:scaling>
        <c:axPos val="b"/>
        <c:majorTickMark val="none"/>
        <c:tickLblPos val="nextTo"/>
        <c:crossAx val="142926976"/>
        <c:crosses val="autoZero"/>
        <c:auto val="1"/>
        <c:lblAlgn val="ctr"/>
        <c:lblOffset val="100"/>
      </c:catAx>
      <c:valAx>
        <c:axId val="142926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2896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175</c:v>
                </c:pt>
                <c:pt idx="1">
                  <c:v>48.800000000000011</c:v>
                </c:pt>
                <c:pt idx="2">
                  <c:v>0</c:v>
                </c:pt>
                <c:pt idx="3">
                  <c:v>222.8</c:v>
                </c:pt>
                <c:pt idx="4">
                  <c:v>0</c:v>
                </c:pt>
                <c:pt idx="5">
                  <c:v>0</c:v>
                </c:pt>
                <c:pt idx="6">
                  <c:v>260</c:v>
                </c:pt>
                <c:pt idx="7">
                  <c:v>50</c:v>
                </c:pt>
                <c:pt idx="8">
                  <c:v>226</c:v>
                </c:pt>
                <c:pt idx="9">
                  <c:v>0</c:v>
                </c:pt>
                <c:pt idx="10">
                  <c:v>0</c:v>
                </c:pt>
                <c:pt idx="11">
                  <c:v>253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184.99999999999994</c:v>
                </c:pt>
                <c:pt idx="1">
                  <c:v>121.80000000000001</c:v>
                </c:pt>
                <c:pt idx="2">
                  <c:v>0</c:v>
                </c:pt>
                <c:pt idx="3">
                  <c:v>196.8</c:v>
                </c:pt>
                <c:pt idx="4">
                  <c:v>0</c:v>
                </c:pt>
                <c:pt idx="5">
                  <c:v>0</c:v>
                </c:pt>
                <c:pt idx="6">
                  <c:v>345.20000000000005</c:v>
                </c:pt>
                <c:pt idx="7">
                  <c:v>74.2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300.20000000000005</c:v>
                </c:pt>
              </c:numCache>
            </c:numRef>
          </c:val>
        </c:ser>
        <c:axId val="143215232"/>
        <c:axId val="143225216"/>
      </c:barChart>
      <c:catAx>
        <c:axId val="143215232"/>
        <c:scaling>
          <c:orientation val="minMax"/>
        </c:scaling>
        <c:axPos val="b"/>
        <c:majorTickMark val="none"/>
        <c:tickLblPos val="nextTo"/>
        <c:crossAx val="143225216"/>
        <c:crosses val="autoZero"/>
        <c:auto val="1"/>
        <c:lblAlgn val="ctr"/>
        <c:lblOffset val="100"/>
      </c:catAx>
      <c:valAx>
        <c:axId val="143225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43215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2220454</c:v>
                </c:pt>
                <c:pt idx="1">
                  <c:v>1794584</c:v>
                </c:pt>
                <c:pt idx="2">
                  <c:v>0</c:v>
                </c:pt>
                <c:pt idx="3">
                  <c:v>1740659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1762584</c:v>
                </c:pt>
                <c:pt idx="7" formatCode="#,##0.0">
                  <c:v>1762584</c:v>
                </c:pt>
                <c:pt idx="8" formatCode="#,##0.0">
                  <c:v>2079785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axId val="143250176"/>
        <c:axId val="143251712"/>
      </c:barChart>
      <c:catAx>
        <c:axId val="143250176"/>
        <c:scaling>
          <c:orientation val="minMax"/>
        </c:scaling>
        <c:axPos val="b"/>
        <c:majorTickMark val="none"/>
        <c:tickLblPos val="nextTo"/>
        <c:crossAx val="143251712"/>
        <c:crosses val="autoZero"/>
        <c:auto val="1"/>
        <c:lblAlgn val="ctr"/>
        <c:lblOffset val="100"/>
      </c:catAx>
      <c:valAx>
        <c:axId val="143251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43250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1046.2</c:v>
                </c:pt>
                <c:pt idx="1">
                  <c:v>425.00000000000006</c:v>
                </c:pt>
                <c:pt idx="2">
                  <c:v>0</c:v>
                </c:pt>
                <c:pt idx="3">
                  <c:v>1087.8000000000002</c:v>
                </c:pt>
                <c:pt idx="4">
                  <c:v>0</c:v>
                </c:pt>
                <c:pt idx="5">
                  <c:v>0</c:v>
                </c:pt>
                <c:pt idx="6">
                  <c:v>601</c:v>
                </c:pt>
                <c:pt idx="7">
                  <c:v>149.4</c:v>
                </c:pt>
                <c:pt idx="8">
                  <c:v>875.4</c:v>
                </c:pt>
                <c:pt idx="9">
                  <c:v>0</c:v>
                </c:pt>
                <c:pt idx="10">
                  <c:v>0</c:v>
                </c:pt>
                <c:pt idx="11">
                  <c:v>886.6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1674.2</c:v>
                </c:pt>
                <c:pt idx="1">
                  <c:v>1097.2</c:v>
                </c:pt>
                <c:pt idx="2">
                  <c:v>0</c:v>
                </c:pt>
                <c:pt idx="3">
                  <c:v>1727.1999999999998</c:v>
                </c:pt>
                <c:pt idx="4">
                  <c:v>0</c:v>
                </c:pt>
                <c:pt idx="5">
                  <c:v>0</c:v>
                </c:pt>
                <c:pt idx="6">
                  <c:v>935.59999999999991</c:v>
                </c:pt>
                <c:pt idx="7">
                  <c:v>332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1133.8000000000002</c:v>
                </c:pt>
              </c:numCache>
            </c:numRef>
          </c:val>
        </c:ser>
        <c:axId val="143778176"/>
        <c:axId val="143779712"/>
      </c:barChart>
      <c:catAx>
        <c:axId val="143778176"/>
        <c:scaling>
          <c:orientation val="minMax"/>
        </c:scaling>
        <c:axPos val="b"/>
        <c:majorTickMark val="none"/>
        <c:tickLblPos val="nextTo"/>
        <c:crossAx val="143779712"/>
        <c:crosses val="autoZero"/>
        <c:auto val="1"/>
        <c:lblAlgn val="ctr"/>
        <c:lblOffset val="100"/>
      </c:catAx>
      <c:valAx>
        <c:axId val="143779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43778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23146001</c:v>
                </c:pt>
                <c:pt idx="1">
                  <c:v>18859843</c:v>
                </c:pt>
                <c:pt idx="2">
                  <c:v>0</c:v>
                </c:pt>
                <c:pt idx="3">
                  <c:v>18307918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18539843</c:v>
                </c:pt>
                <c:pt idx="7" formatCode="#,##0.0">
                  <c:v>18539843</c:v>
                </c:pt>
                <c:pt idx="8" formatCode="#,##0.0">
                  <c:v>21699332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axId val="143948032"/>
        <c:axId val="143958016"/>
      </c:barChart>
      <c:catAx>
        <c:axId val="143948032"/>
        <c:scaling>
          <c:orientation val="minMax"/>
        </c:scaling>
        <c:axPos val="b"/>
        <c:majorTickMark val="none"/>
        <c:tickLblPos val="nextTo"/>
        <c:crossAx val="143958016"/>
        <c:crosses val="autoZero"/>
        <c:auto val="1"/>
        <c:lblAlgn val="ctr"/>
        <c:lblOffset val="100"/>
      </c:catAx>
      <c:valAx>
        <c:axId val="143958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43948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10012</c:v>
                </c:pt>
                <c:pt idx="1">
                  <c:v>4314.4000000000005</c:v>
                </c:pt>
                <c:pt idx="2">
                  <c:v>0</c:v>
                </c:pt>
                <c:pt idx="3">
                  <c:v>9812</c:v>
                </c:pt>
                <c:pt idx="4">
                  <c:v>0</c:v>
                </c:pt>
                <c:pt idx="5">
                  <c:v>0</c:v>
                </c:pt>
                <c:pt idx="6">
                  <c:v>2513.6</c:v>
                </c:pt>
                <c:pt idx="7">
                  <c:v>868.40000000000009</c:v>
                </c:pt>
                <c:pt idx="8">
                  <c:v>6470.4</c:v>
                </c:pt>
                <c:pt idx="9">
                  <c:v>0</c:v>
                </c:pt>
                <c:pt idx="10">
                  <c:v>0</c:v>
                </c:pt>
                <c:pt idx="11">
                  <c:v>6057.6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16452.2</c:v>
                </c:pt>
                <c:pt idx="1">
                  <c:v>10938.8</c:v>
                </c:pt>
                <c:pt idx="2">
                  <c:v>0</c:v>
                </c:pt>
                <c:pt idx="3">
                  <c:v>17423.199999999997</c:v>
                </c:pt>
                <c:pt idx="4">
                  <c:v>0</c:v>
                </c:pt>
                <c:pt idx="5">
                  <c:v>0</c:v>
                </c:pt>
                <c:pt idx="6">
                  <c:v>6075.7999999999993</c:v>
                </c:pt>
                <c:pt idx="7">
                  <c:v>1371.4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8293</c:v>
                </c:pt>
              </c:numCache>
            </c:numRef>
          </c:val>
        </c:ser>
        <c:axId val="144213888"/>
        <c:axId val="144215424"/>
      </c:barChart>
      <c:catAx>
        <c:axId val="144213888"/>
        <c:scaling>
          <c:orientation val="minMax"/>
        </c:scaling>
        <c:axPos val="b"/>
        <c:majorTickMark val="none"/>
        <c:tickLblPos val="nextTo"/>
        <c:crossAx val="144215424"/>
        <c:crosses val="autoZero"/>
        <c:auto val="1"/>
        <c:lblAlgn val="ctr"/>
        <c:lblOffset val="100"/>
      </c:catAx>
      <c:valAx>
        <c:axId val="14421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4213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240523562</c:v>
                </c:pt>
                <c:pt idx="1">
                  <c:v>198074556</c:v>
                </c:pt>
                <c:pt idx="2">
                  <c:v>0</c:v>
                </c:pt>
                <c:pt idx="3">
                  <c:v>192142631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194474556</c:v>
                </c:pt>
                <c:pt idx="7" formatCode="#,##0.0">
                  <c:v>194474556</c:v>
                </c:pt>
                <c:pt idx="8" formatCode="#,##0.0">
                  <c:v>226056893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axId val="144408576"/>
        <c:axId val="144410112"/>
      </c:barChart>
      <c:catAx>
        <c:axId val="144408576"/>
        <c:scaling>
          <c:orientation val="minMax"/>
        </c:scaling>
        <c:axPos val="b"/>
        <c:majorTickMark val="none"/>
        <c:tickLblPos val="nextTo"/>
        <c:crossAx val="144410112"/>
        <c:crosses val="autoZero"/>
        <c:auto val="1"/>
        <c:lblAlgn val="ctr"/>
        <c:lblOffset val="100"/>
      </c:catAx>
      <c:valAx>
        <c:axId val="144410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4408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4072.2</c:v>
                </c:pt>
                <c:pt idx="1">
                  <c:v>941.80000000000018</c:v>
                </c:pt>
                <c:pt idx="2">
                  <c:v>0</c:v>
                </c:pt>
                <c:pt idx="3">
                  <c:v>2266.6</c:v>
                </c:pt>
                <c:pt idx="4">
                  <c:v>0</c:v>
                </c:pt>
                <c:pt idx="5">
                  <c:v>0</c:v>
                </c:pt>
                <c:pt idx="6">
                  <c:v>1118.5999999999999</c:v>
                </c:pt>
                <c:pt idx="7">
                  <c:v>450.4</c:v>
                </c:pt>
                <c:pt idx="8">
                  <c:v>1092</c:v>
                </c:pt>
                <c:pt idx="9">
                  <c:v>0</c:v>
                </c:pt>
                <c:pt idx="10">
                  <c:v>0</c:v>
                </c:pt>
                <c:pt idx="11">
                  <c:v>2039.8000000000002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3615.3999999999996</c:v>
                </c:pt>
                <c:pt idx="1">
                  <c:v>2009.9999999999995</c:v>
                </c:pt>
                <c:pt idx="2">
                  <c:v>0</c:v>
                </c:pt>
                <c:pt idx="3">
                  <c:v>5496.6</c:v>
                </c:pt>
                <c:pt idx="4">
                  <c:v>0</c:v>
                </c:pt>
                <c:pt idx="5">
                  <c:v>0</c:v>
                </c:pt>
                <c:pt idx="6">
                  <c:v>1706.6</c:v>
                </c:pt>
                <c:pt idx="7">
                  <c:v>316.80000000000007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2112.1999999999998</c:v>
                </c:pt>
              </c:numCache>
            </c:numRef>
          </c:val>
        </c:ser>
        <c:axId val="143543680"/>
        <c:axId val="143553664"/>
      </c:barChart>
      <c:catAx>
        <c:axId val="143543680"/>
        <c:scaling>
          <c:orientation val="minMax"/>
        </c:scaling>
        <c:axPos val="b"/>
        <c:majorTickMark val="none"/>
        <c:tickLblPos val="nextTo"/>
        <c:crossAx val="143553664"/>
        <c:crosses val="autoZero"/>
        <c:auto val="1"/>
        <c:lblAlgn val="ctr"/>
        <c:lblOffset val="100"/>
      </c:catAx>
      <c:valAx>
        <c:axId val="143553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3543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84048052</c:v>
                </c:pt>
                <c:pt idx="1">
                  <c:v>73425647</c:v>
                </c:pt>
                <c:pt idx="2">
                  <c:v>0</c:v>
                </c:pt>
                <c:pt idx="3">
                  <c:v>79509317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72855111</c:v>
                </c:pt>
                <c:pt idx="7" formatCode="#,##0.0">
                  <c:v>72800403</c:v>
                </c:pt>
                <c:pt idx="8" formatCode="#,##0.0">
                  <c:v>76301917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axId val="143582720"/>
        <c:axId val="143584256"/>
      </c:barChart>
      <c:catAx>
        <c:axId val="143582720"/>
        <c:scaling>
          <c:orientation val="minMax"/>
        </c:scaling>
        <c:axPos val="b"/>
        <c:majorTickMark val="none"/>
        <c:tickLblPos val="nextTo"/>
        <c:crossAx val="143584256"/>
        <c:crosses val="autoZero"/>
        <c:auto val="1"/>
        <c:lblAlgn val="ctr"/>
        <c:lblOffset val="100"/>
      </c:catAx>
      <c:valAx>
        <c:axId val="143584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3582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40644</c:v>
                </c:pt>
                <c:pt idx="1">
                  <c:v>10038.799999999999</c:v>
                </c:pt>
                <c:pt idx="2">
                  <c:v>0</c:v>
                </c:pt>
                <c:pt idx="3">
                  <c:v>22424.799999999999</c:v>
                </c:pt>
                <c:pt idx="4">
                  <c:v>0</c:v>
                </c:pt>
                <c:pt idx="5">
                  <c:v>0</c:v>
                </c:pt>
                <c:pt idx="6">
                  <c:v>7418.5999999999995</c:v>
                </c:pt>
                <c:pt idx="7">
                  <c:v>2292.1999999999998</c:v>
                </c:pt>
                <c:pt idx="8">
                  <c:v>8941.6</c:v>
                </c:pt>
                <c:pt idx="9">
                  <c:v>0</c:v>
                </c:pt>
                <c:pt idx="10">
                  <c:v>0</c:v>
                </c:pt>
                <c:pt idx="11">
                  <c:v>15494.2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36190.800000000003</c:v>
                </c:pt>
                <c:pt idx="1">
                  <c:v>20013.2</c:v>
                </c:pt>
                <c:pt idx="2">
                  <c:v>0</c:v>
                </c:pt>
                <c:pt idx="3">
                  <c:v>56050.600000000006</c:v>
                </c:pt>
                <c:pt idx="4">
                  <c:v>0</c:v>
                </c:pt>
                <c:pt idx="5">
                  <c:v>0</c:v>
                </c:pt>
                <c:pt idx="6">
                  <c:v>14103.000000000004</c:v>
                </c:pt>
                <c:pt idx="7">
                  <c:v>2566.6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19927.600000000002</c:v>
                </c:pt>
              </c:numCache>
            </c:numRef>
          </c:val>
        </c:ser>
        <c:axId val="144622720"/>
        <c:axId val="144624256"/>
      </c:barChart>
      <c:catAx>
        <c:axId val="144622720"/>
        <c:scaling>
          <c:orientation val="minMax"/>
        </c:scaling>
        <c:axPos val="b"/>
        <c:majorTickMark val="none"/>
        <c:tickLblPos val="nextTo"/>
        <c:crossAx val="144624256"/>
        <c:crosses val="autoZero"/>
        <c:auto val="1"/>
        <c:lblAlgn val="ctr"/>
        <c:lblOffset val="100"/>
      </c:catAx>
      <c:valAx>
        <c:axId val="144624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4622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393.6</c:v>
                </c:pt>
                <c:pt idx="1">
                  <c:v>106.80000000000001</c:v>
                </c:pt>
                <c:pt idx="2">
                  <c:v>288.8</c:v>
                </c:pt>
                <c:pt idx="3">
                  <c:v>467.6</c:v>
                </c:pt>
                <c:pt idx="4">
                  <c:v>584.79999999999995</c:v>
                </c:pt>
                <c:pt idx="5">
                  <c:v>185.60000000000002</c:v>
                </c:pt>
                <c:pt idx="6">
                  <c:v>305.40000000000003</c:v>
                </c:pt>
                <c:pt idx="7">
                  <c:v>27.799999999999997</c:v>
                </c:pt>
                <c:pt idx="8">
                  <c:v>661.40000000000009</c:v>
                </c:pt>
                <c:pt idx="9">
                  <c:v>303.8</c:v>
                </c:pt>
                <c:pt idx="10">
                  <c:v>303.59999999999997</c:v>
                </c:pt>
                <c:pt idx="11">
                  <c:v>276.79999999999995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600.80000000000007</c:v>
                </c:pt>
                <c:pt idx="1">
                  <c:v>265.60000000000002</c:v>
                </c:pt>
                <c:pt idx="2">
                  <c:v>471.59999999999997</c:v>
                </c:pt>
                <c:pt idx="3">
                  <c:v>533.40000000000009</c:v>
                </c:pt>
                <c:pt idx="4">
                  <c:v>292.40000000000009</c:v>
                </c:pt>
                <c:pt idx="5">
                  <c:v>185</c:v>
                </c:pt>
                <c:pt idx="6">
                  <c:v>317.40000000000003</c:v>
                </c:pt>
                <c:pt idx="7">
                  <c:v>80.600000000000023</c:v>
                </c:pt>
                <c:pt idx="8">
                  <c:v>662.8</c:v>
                </c:pt>
                <c:pt idx="9">
                  <c:v>796.40000000000009</c:v>
                </c:pt>
                <c:pt idx="10">
                  <c:v>222.00000000000009</c:v>
                </c:pt>
                <c:pt idx="11">
                  <c:v>244.20000000000007</c:v>
                </c:pt>
              </c:numCache>
            </c:numRef>
          </c:val>
        </c:ser>
        <c:axId val="99189120"/>
        <c:axId val="99190656"/>
      </c:barChart>
      <c:catAx>
        <c:axId val="99189120"/>
        <c:scaling>
          <c:orientation val="minMax"/>
        </c:scaling>
        <c:axPos val="b"/>
        <c:majorTickMark val="none"/>
        <c:tickLblPos val="nextTo"/>
        <c:crossAx val="99190656"/>
        <c:crosses val="autoZero"/>
        <c:auto val="1"/>
        <c:lblAlgn val="ctr"/>
        <c:lblOffset val="100"/>
      </c:catAx>
      <c:valAx>
        <c:axId val="99190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9189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850178252</c:v>
                </c:pt>
                <c:pt idx="1">
                  <c:v>745341367</c:v>
                </c:pt>
                <c:pt idx="2">
                  <c:v>0</c:v>
                </c:pt>
                <c:pt idx="3">
                  <c:v>805530098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738942711</c:v>
                </c:pt>
                <c:pt idx="7" formatCode="#,##0.0">
                  <c:v>738376807</c:v>
                </c:pt>
                <c:pt idx="8" formatCode="#,##0.0">
                  <c:v>773410117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axId val="145046528"/>
        <c:axId val="145064704"/>
      </c:barChart>
      <c:catAx>
        <c:axId val="145046528"/>
        <c:scaling>
          <c:orientation val="minMax"/>
        </c:scaling>
        <c:axPos val="b"/>
        <c:majorTickMark val="none"/>
        <c:tickLblPos val="nextTo"/>
        <c:crossAx val="145064704"/>
        <c:crosses val="autoZero"/>
        <c:auto val="1"/>
        <c:lblAlgn val="ctr"/>
        <c:lblOffset val="100"/>
      </c:catAx>
      <c:valAx>
        <c:axId val="145064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5046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416624</c:v>
                </c:pt>
                <c:pt idx="1">
                  <c:v>106170.4</c:v>
                </c:pt>
                <c:pt idx="2">
                  <c:v>0</c:v>
                </c:pt>
                <c:pt idx="3">
                  <c:v>230224.2</c:v>
                </c:pt>
                <c:pt idx="4">
                  <c:v>0</c:v>
                </c:pt>
                <c:pt idx="5">
                  <c:v>0</c:v>
                </c:pt>
                <c:pt idx="6">
                  <c:v>68283.799999999988</c:v>
                </c:pt>
                <c:pt idx="7">
                  <c:v>20938.400000000001</c:v>
                </c:pt>
                <c:pt idx="8">
                  <c:v>83910.8</c:v>
                </c:pt>
                <c:pt idx="9">
                  <c:v>0</c:v>
                </c:pt>
                <c:pt idx="10">
                  <c:v>0</c:v>
                </c:pt>
                <c:pt idx="11">
                  <c:v>153275.6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362586.20000000007</c:v>
                </c:pt>
                <c:pt idx="1">
                  <c:v>194038.40000000002</c:v>
                </c:pt>
                <c:pt idx="2">
                  <c:v>0</c:v>
                </c:pt>
                <c:pt idx="3">
                  <c:v>576294.80000000005</c:v>
                </c:pt>
                <c:pt idx="4">
                  <c:v>0</c:v>
                </c:pt>
                <c:pt idx="5">
                  <c:v>0</c:v>
                </c:pt>
                <c:pt idx="6">
                  <c:v>150854</c:v>
                </c:pt>
                <c:pt idx="7">
                  <c:v>26800.799999999996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198279.8</c:v>
                </c:pt>
              </c:numCache>
            </c:numRef>
          </c:val>
        </c:ser>
        <c:axId val="144014720"/>
        <c:axId val="144098432"/>
      </c:barChart>
      <c:catAx>
        <c:axId val="144014720"/>
        <c:scaling>
          <c:orientation val="minMax"/>
        </c:scaling>
        <c:axPos val="b"/>
        <c:majorTickMark val="none"/>
        <c:tickLblPos val="nextTo"/>
        <c:crossAx val="144098432"/>
        <c:crosses val="autoZero"/>
        <c:auto val="1"/>
        <c:lblAlgn val="ctr"/>
        <c:lblOffset val="100"/>
      </c:catAx>
      <c:valAx>
        <c:axId val="144098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4014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8605773452</c:v>
                </c:pt>
                <c:pt idx="1">
                  <c:v>7557405367</c:v>
                </c:pt>
                <c:pt idx="2">
                  <c:v>0</c:v>
                </c:pt>
                <c:pt idx="3">
                  <c:v>8204328098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7493418711</c:v>
                </c:pt>
                <c:pt idx="7" formatCode="#,##0.0">
                  <c:v>7487618967</c:v>
                </c:pt>
                <c:pt idx="8" formatCode="#,##0.0">
                  <c:v>7838092117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axId val="144852480"/>
        <c:axId val="144854016"/>
      </c:barChart>
      <c:catAx>
        <c:axId val="144852480"/>
        <c:scaling>
          <c:orientation val="minMax"/>
        </c:scaling>
        <c:axPos val="b"/>
        <c:majorTickMark val="none"/>
        <c:tickLblPos val="nextTo"/>
        <c:crossAx val="144854016"/>
        <c:crosses val="autoZero"/>
        <c:auto val="1"/>
        <c:lblAlgn val="ctr"/>
        <c:lblOffset val="100"/>
      </c:catAx>
      <c:valAx>
        <c:axId val="144854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4852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2097.1999999999998</c:v>
                </c:pt>
                <c:pt idx="1">
                  <c:v>736.60000000000014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847.2</c:v>
                </c:pt>
                <c:pt idx="7">
                  <c:v>223.2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2896.6</c:v>
                </c:pt>
                <c:pt idx="1">
                  <c:v>1888.7999999999995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1596.4</c:v>
                </c:pt>
                <c:pt idx="7">
                  <c:v>226.20000000000005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5704064"/>
        <c:axId val="145705600"/>
      </c:barChart>
      <c:catAx>
        <c:axId val="145704064"/>
        <c:scaling>
          <c:orientation val="minMax"/>
        </c:scaling>
        <c:axPos val="b"/>
        <c:majorTickMark val="none"/>
        <c:tickLblPos val="nextTo"/>
        <c:crossAx val="145705600"/>
        <c:crosses val="autoZero"/>
        <c:auto val="1"/>
        <c:lblAlgn val="ctr"/>
        <c:lblOffset val="100"/>
      </c:catAx>
      <c:valAx>
        <c:axId val="145705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57040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53427744</c:v>
                </c:pt>
                <c:pt idx="1">
                  <c:v>49222928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48172180</c:v>
                </c:pt>
                <c:pt idx="7" formatCode="#,##0.0">
                  <c:v>48172180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axId val="145730560"/>
        <c:axId val="145748736"/>
      </c:barChart>
      <c:catAx>
        <c:axId val="145730560"/>
        <c:scaling>
          <c:orientation val="minMax"/>
        </c:scaling>
        <c:axPos val="b"/>
        <c:majorTickMark val="none"/>
        <c:tickLblPos val="nextTo"/>
        <c:crossAx val="145748736"/>
        <c:crosses val="autoZero"/>
        <c:auto val="1"/>
        <c:lblAlgn val="ctr"/>
        <c:lblOffset val="100"/>
      </c:catAx>
      <c:valAx>
        <c:axId val="145748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573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230327.80000000002</c:v>
                </c:pt>
                <c:pt idx="1">
                  <c:v>80766.000000000015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57569.399999999994</c:v>
                </c:pt>
                <c:pt idx="7">
                  <c:v>21354.6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273175.99999999988</c:v>
                </c:pt>
                <c:pt idx="1">
                  <c:v>199852.39999999997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100950.39999999999</c:v>
                </c:pt>
                <c:pt idx="7">
                  <c:v>21679.599999999999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5230464"/>
        <c:axId val="145244544"/>
      </c:barChart>
      <c:catAx>
        <c:axId val="145230464"/>
        <c:scaling>
          <c:orientation val="minMax"/>
        </c:scaling>
        <c:axPos val="b"/>
        <c:majorTickMark val="none"/>
        <c:tickLblPos val="nextTo"/>
        <c:crossAx val="145244544"/>
        <c:crosses val="autoZero"/>
        <c:auto val="1"/>
        <c:lblAlgn val="ctr"/>
        <c:lblOffset val="100"/>
      </c:catAx>
      <c:valAx>
        <c:axId val="14524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5230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9797315916</c:v>
                </c:pt>
                <c:pt idx="1">
                  <c:v>9490545095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9388310815</c:v>
                </c:pt>
                <c:pt idx="7" formatCode="#,##0.0">
                  <c:v>9388310815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axId val="145281792"/>
        <c:axId val="145283328"/>
      </c:barChart>
      <c:catAx>
        <c:axId val="145281792"/>
        <c:scaling>
          <c:orientation val="minMax"/>
        </c:scaling>
        <c:axPos val="b"/>
        <c:majorTickMark val="none"/>
        <c:tickLblPos val="nextTo"/>
        <c:crossAx val="145283328"/>
        <c:crosses val="autoZero"/>
        <c:auto val="1"/>
        <c:lblAlgn val="ctr"/>
        <c:lblOffset val="100"/>
      </c:catAx>
      <c:valAx>
        <c:axId val="145283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45281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4777780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4777768</c:v>
                </c:pt>
                <c:pt idx="7" formatCode="#,##0.0">
                  <c:v>4777768</c:v>
                </c:pt>
                <c:pt idx="8" formatCode="#,##0.0">
                  <c:v>4777780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axId val="99215616"/>
        <c:axId val="103682048"/>
      </c:barChart>
      <c:catAx>
        <c:axId val="99215616"/>
        <c:scaling>
          <c:orientation val="minMax"/>
        </c:scaling>
        <c:axPos val="b"/>
        <c:majorTickMark val="none"/>
        <c:tickLblPos val="nextTo"/>
        <c:crossAx val="103682048"/>
        <c:crosses val="autoZero"/>
        <c:auto val="1"/>
        <c:lblAlgn val="ctr"/>
        <c:lblOffset val="100"/>
      </c:catAx>
      <c:valAx>
        <c:axId val="103682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99215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3177</c:v>
                </c:pt>
                <c:pt idx="1">
                  <c:v>1008.4000000000001</c:v>
                </c:pt>
                <c:pt idx="2">
                  <c:v>2779.6</c:v>
                </c:pt>
                <c:pt idx="3">
                  <c:v>3670.7999999999997</c:v>
                </c:pt>
                <c:pt idx="4">
                  <c:v>4219.3999999999996</c:v>
                </c:pt>
                <c:pt idx="5">
                  <c:v>1418.8000000000002</c:v>
                </c:pt>
                <c:pt idx="6">
                  <c:v>662.6</c:v>
                </c:pt>
                <c:pt idx="7">
                  <c:v>117.79999999999998</c:v>
                </c:pt>
                <c:pt idx="8">
                  <c:v>3803.2000000000003</c:v>
                </c:pt>
                <c:pt idx="9">
                  <c:v>852.4</c:v>
                </c:pt>
                <c:pt idx="10">
                  <c:v>707.59999999999991</c:v>
                </c:pt>
                <c:pt idx="11">
                  <c:v>1246.3999999999999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5699.7999999999993</c:v>
                </c:pt>
                <c:pt idx="1">
                  <c:v>2681.7999999999997</c:v>
                </c:pt>
                <c:pt idx="2">
                  <c:v>4652.1999999999989</c:v>
                </c:pt>
                <c:pt idx="3">
                  <c:v>5192.2000000000007</c:v>
                </c:pt>
                <c:pt idx="4">
                  <c:v>2646.0000000000005</c:v>
                </c:pt>
                <c:pt idx="5">
                  <c:v>1890.2000000000003</c:v>
                </c:pt>
                <c:pt idx="6">
                  <c:v>948.20000000000016</c:v>
                </c:pt>
                <c:pt idx="7">
                  <c:v>271.20000000000005</c:v>
                </c:pt>
                <c:pt idx="8">
                  <c:v>3737.8</c:v>
                </c:pt>
                <c:pt idx="9">
                  <c:v>6046.8</c:v>
                </c:pt>
                <c:pt idx="10">
                  <c:v>981.2</c:v>
                </c:pt>
                <c:pt idx="11">
                  <c:v>1593.2000000000003</c:v>
                </c:pt>
              </c:numCache>
            </c:numRef>
          </c:val>
        </c:ser>
        <c:axId val="105015168"/>
        <c:axId val="105016704"/>
      </c:barChart>
      <c:catAx>
        <c:axId val="105015168"/>
        <c:scaling>
          <c:orientation val="minMax"/>
        </c:scaling>
        <c:axPos val="b"/>
        <c:majorTickMark val="none"/>
        <c:tickLblPos val="nextTo"/>
        <c:crossAx val="105016704"/>
        <c:crosses val="autoZero"/>
        <c:auto val="1"/>
        <c:lblAlgn val="ctr"/>
        <c:lblOffset val="100"/>
      </c:catAx>
      <c:valAx>
        <c:axId val="105016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05015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49777780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49777768</c:v>
                </c:pt>
                <c:pt idx="7" formatCode="#,##0.0">
                  <c:v>49777768</c:v>
                </c:pt>
                <c:pt idx="8" formatCode="#,##0.0">
                  <c:v>49777780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axId val="105058304"/>
        <c:axId val="105059840"/>
      </c:barChart>
      <c:catAx>
        <c:axId val="105058304"/>
        <c:scaling>
          <c:orientation val="minMax"/>
        </c:scaling>
        <c:axPos val="b"/>
        <c:majorTickMark val="none"/>
        <c:tickLblPos val="nextTo"/>
        <c:crossAx val="105059840"/>
        <c:crosses val="autoZero"/>
        <c:auto val="1"/>
        <c:lblAlgn val="ctr"/>
        <c:lblOffset val="100"/>
      </c:catAx>
      <c:valAx>
        <c:axId val="105059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05058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33334.199999999997</c:v>
                </c:pt>
                <c:pt idx="1">
                  <c:v>10997</c:v>
                </c:pt>
                <c:pt idx="2">
                  <c:v>27540.6</c:v>
                </c:pt>
                <c:pt idx="3">
                  <c:v>36595.399999999994</c:v>
                </c:pt>
                <c:pt idx="4">
                  <c:v>41215</c:v>
                </c:pt>
                <c:pt idx="5">
                  <c:v>12953.999999999998</c:v>
                </c:pt>
                <c:pt idx="6">
                  <c:v>4395.8</c:v>
                </c:pt>
                <c:pt idx="7">
                  <c:v>1374</c:v>
                </c:pt>
                <c:pt idx="8">
                  <c:v>31066.2</c:v>
                </c:pt>
                <c:pt idx="9">
                  <c:v>6613.6</c:v>
                </c:pt>
                <c:pt idx="10">
                  <c:v>4742.2</c:v>
                </c:pt>
                <c:pt idx="11">
                  <c:v>8660.6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57154</c:v>
                </c:pt>
                <c:pt idx="1">
                  <c:v>26674.799999999999</c:v>
                </c:pt>
                <c:pt idx="2">
                  <c:v>48161.000000000007</c:v>
                </c:pt>
                <c:pt idx="3">
                  <c:v>52083.000000000015</c:v>
                </c:pt>
                <c:pt idx="4">
                  <c:v>24230.200000000004</c:v>
                </c:pt>
                <c:pt idx="5">
                  <c:v>21040.800000000003</c:v>
                </c:pt>
                <c:pt idx="6">
                  <c:v>6547.6</c:v>
                </c:pt>
                <c:pt idx="7">
                  <c:v>2006</c:v>
                </c:pt>
                <c:pt idx="8">
                  <c:v>35976.400000000009</c:v>
                </c:pt>
                <c:pt idx="9">
                  <c:v>57791.6</c:v>
                </c:pt>
                <c:pt idx="10">
                  <c:v>6444.5999999999995</c:v>
                </c:pt>
                <c:pt idx="11">
                  <c:v>13247.999999999998</c:v>
                </c:pt>
              </c:numCache>
            </c:numRef>
          </c:val>
        </c:ser>
        <c:axId val="114777472"/>
        <c:axId val="114799744"/>
      </c:barChart>
      <c:catAx>
        <c:axId val="114777472"/>
        <c:scaling>
          <c:orientation val="minMax"/>
        </c:scaling>
        <c:axPos val="b"/>
        <c:majorTickMark val="none"/>
        <c:tickLblPos val="nextTo"/>
        <c:crossAx val="114799744"/>
        <c:crosses val="autoZero"/>
        <c:auto val="1"/>
        <c:lblAlgn val="ctr"/>
        <c:lblOffset val="100"/>
      </c:catAx>
      <c:valAx>
        <c:axId val="114799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14777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517777780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517777768</c:v>
                </c:pt>
                <c:pt idx="7" formatCode="#,##0.0">
                  <c:v>517777768</c:v>
                </c:pt>
                <c:pt idx="8" formatCode="#,##0.0">
                  <c:v>517777780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axId val="114824704"/>
        <c:axId val="114826240"/>
      </c:barChart>
      <c:catAx>
        <c:axId val="114824704"/>
        <c:scaling>
          <c:orientation val="minMax"/>
        </c:scaling>
        <c:axPos val="b"/>
        <c:majorTickMark val="none"/>
        <c:tickLblPos val="nextTo"/>
        <c:crossAx val="114826240"/>
        <c:crosses val="autoZero"/>
        <c:auto val="1"/>
        <c:lblAlgn val="ctr"/>
        <c:lblOffset val="100"/>
      </c:catAx>
      <c:valAx>
        <c:axId val="114826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14824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585.20000000000005</c:v>
                </c:pt>
                <c:pt idx="1">
                  <c:v>194.2</c:v>
                </c:pt>
                <c:pt idx="2">
                  <c:v>418.4</c:v>
                </c:pt>
                <c:pt idx="3">
                  <c:v>491.99999999999994</c:v>
                </c:pt>
                <c:pt idx="4">
                  <c:v>506</c:v>
                </c:pt>
                <c:pt idx="5">
                  <c:v>200.60000000000002</c:v>
                </c:pt>
                <c:pt idx="6">
                  <c:v>193.2</c:v>
                </c:pt>
                <c:pt idx="7">
                  <c:v>109.39999999999999</c:v>
                </c:pt>
                <c:pt idx="8">
                  <c:v>521.20000000000005</c:v>
                </c:pt>
                <c:pt idx="9">
                  <c:v>344.40000000000003</c:v>
                </c:pt>
                <c:pt idx="10">
                  <c:v>212.2</c:v>
                </c:pt>
                <c:pt idx="11">
                  <c:v>218.6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897.2</c:v>
                </c:pt>
                <c:pt idx="1">
                  <c:v>376.79999999999995</c:v>
                </c:pt>
                <c:pt idx="2">
                  <c:v>796.40000000000009</c:v>
                </c:pt>
                <c:pt idx="3">
                  <c:v>671.2</c:v>
                </c:pt>
                <c:pt idx="4">
                  <c:v>274.20000000000005</c:v>
                </c:pt>
                <c:pt idx="5">
                  <c:v>227.8</c:v>
                </c:pt>
                <c:pt idx="6">
                  <c:v>248</c:v>
                </c:pt>
                <c:pt idx="7">
                  <c:v>48.800000000000011</c:v>
                </c:pt>
                <c:pt idx="8">
                  <c:v>497.79999999999995</c:v>
                </c:pt>
                <c:pt idx="9">
                  <c:v>596.39999999999986</c:v>
                </c:pt>
                <c:pt idx="10">
                  <c:v>239.39999999999998</c:v>
                </c:pt>
                <c:pt idx="11">
                  <c:v>286.20000000000005</c:v>
                </c:pt>
              </c:numCache>
            </c:numRef>
          </c:val>
        </c:ser>
        <c:axId val="135525504"/>
        <c:axId val="135527040"/>
      </c:barChart>
      <c:catAx>
        <c:axId val="135525504"/>
        <c:scaling>
          <c:orientation val="minMax"/>
        </c:scaling>
        <c:axPos val="b"/>
        <c:majorTickMark val="none"/>
        <c:tickLblPos val="nextTo"/>
        <c:crossAx val="135527040"/>
        <c:crosses val="autoZero"/>
        <c:auto val="1"/>
        <c:lblAlgn val="ctr"/>
        <c:lblOffset val="100"/>
      </c:catAx>
      <c:valAx>
        <c:axId val="135527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35525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AverageNumbers[](Table21[Newtonsoft])</calculatedColumnFormula>
    </tableColumn>
    <tableColumn id="3" name="Revenj" dataDxfId="382"/>
    <tableColumn id="11" name="fastJSON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 Platform Java" dataDxfId="376"/>
    <tableColumn id="9" name="Genson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AverageNumbers[](Table21[Newtonsoft])</calculatedColumnFormula>
    </tableColumn>
    <tableColumn id="3" name="Revenj" dataDxfId="370"/>
    <tableColumn id="11" name="fastJSON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 Platform Java" dataDxfId="364"/>
    <tableColumn id="9" name="Genson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AverageNumbers[](Table26[Newtonsoft])</calculatedColumnFormula>
    </tableColumn>
    <tableColumn id="3" name="Revenj" dataDxfId="358"/>
    <tableColumn id="11" name="fastJSON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 Platform Java" dataDxfId="352"/>
    <tableColumn id="9" name="Genson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AverageNumbers[](Table26[Newtonsoft])</calculatedColumnFormula>
    </tableColumn>
    <tableColumn id="3" name="Revenj" dataDxfId="346"/>
    <tableColumn id="11" name="fastJSON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 Platform Java" dataDxfId="340"/>
    <tableColumn id="9" name="Genson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fastJSON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 Platform Java" dataDxfId="424"/>
    <tableColumn id="9" name="Genson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AverageNumbers[](Table31[Newtonsoft])</calculatedColumnFormula>
    </tableColumn>
    <tableColumn id="3" name="Revenj" dataDxfId="334"/>
    <tableColumn id="11" name="fastJSON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 Platform Java" dataDxfId="328"/>
    <tableColumn id="9" name="Genson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AverageNumbers[](Table31[Newtonsoft])</calculatedColumnFormula>
    </tableColumn>
    <tableColumn id="3" name="Revenj" dataDxfId="322"/>
    <tableColumn id="11" name="fastJSON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 Platform Java" dataDxfId="316"/>
    <tableColumn id="9" name="Genson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AverageNumbers[](Table36[Newtonsoft])</calculatedColumnFormula>
    </tableColumn>
    <tableColumn id="3" name="Revenj" dataDxfId="310"/>
    <tableColumn id="11" name="fastJSON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 Platform Java" dataDxfId="304"/>
    <tableColumn id="9" name="Genson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AverageNumbers[](Table36[Newtonsoft])</calculatedColumnFormula>
    </tableColumn>
    <tableColumn id="3" name="Revenj" dataDxfId="298"/>
    <tableColumn id="11" name="fastJSON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 Platform Java" dataDxfId="292"/>
    <tableColumn id="9" name="Genson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fastJSON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 Platform Java" dataDxfId="412"/>
    <tableColumn id="9" name="Genson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AverageNumbers[](Table41[Newtonsoft])</calculatedColumnFormula>
    </tableColumn>
    <tableColumn id="3" name="Revenj" dataDxfId="286"/>
    <tableColumn id="11" name="fastJSON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 Platform Java" dataDxfId="280"/>
    <tableColumn id="9" name="Genson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AverageNumbers[](Table41[Newtonsoft])</calculatedColumnFormula>
    </tableColumn>
    <tableColumn id="3" name="Revenj" dataDxfId="274"/>
    <tableColumn id="11" name="fastJSON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 Platform Java" dataDxfId="268"/>
    <tableColumn id="9" name="Genson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AverageNumbers[](Table46[Newtonsoft])</calculatedColumnFormula>
    </tableColumn>
    <tableColumn id="3" name="Revenj" dataDxfId="262"/>
    <tableColumn id="11" name="fastJSON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 Platform Java" dataDxfId="256"/>
    <tableColumn id="9" name="Genson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AverageNumbers[](Table46[Newtonsoft])</calculatedColumnFormula>
    </tableColumn>
    <tableColumn id="3" name="Revenj" dataDxfId="250"/>
    <tableColumn id="11" name="fastJSON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 Platform Java" dataDxfId="244"/>
    <tableColumn id="9" name="Genson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AverageNumbers[](Table51[Newtonsoft])</calculatedColumnFormula>
    </tableColumn>
    <tableColumn id="3" name="Revenj" dataDxfId="238"/>
    <tableColumn id="11" name="fastJSON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 Platform Java" dataDxfId="232"/>
    <tableColumn id="9" name="Genson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AverageNumbers[](Table51[Newtonsoft])</calculatedColumnFormula>
    </tableColumn>
    <tableColumn id="3" name="Revenj" dataDxfId="226"/>
    <tableColumn id="11" name="fastJSON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 Platform Java" dataDxfId="220"/>
    <tableColumn id="9" name="Genson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AverageNumbers[](Table56[Newtonsoft])</calculatedColumnFormula>
    </tableColumn>
    <tableColumn id="3" name="Revenj" dataDxfId="214"/>
    <tableColumn id="11" name="fastJSON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 Platform Java" dataDxfId="208"/>
    <tableColumn id="9" name="Genson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AverageNumbers[](Table56[Newtonsoft])</calculatedColumnFormula>
    </tableColumn>
    <tableColumn id="3" name="Revenj" dataDxfId="202"/>
    <tableColumn id="11" name="fastJSON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 Platform Java" dataDxfId="196"/>
    <tableColumn id="9" name="Genson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AverageNumbers[](Table61[Newtonsoft])</calculatedColumnFormula>
    </tableColumn>
    <tableColumn id="3" name="Revenj" dataDxfId="190"/>
    <tableColumn id="11" name="fastJSON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 Platform Java" dataDxfId="184"/>
    <tableColumn id="9" name="Genson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AverageNumbers[](Table61[Newtonsoft])</calculatedColumnFormula>
    </tableColumn>
    <tableColumn id="3" name="Revenj" dataDxfId="178"/>
    <tableColumn id="11" name="fastJSON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 Platform Java" dataDxfId="172"/>
    <tableColumn id="9" name="Genson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AverageNumbers[](Table66[Newtonsoft])</calculatedColumnFormula>
    </tableColumn>
    <tableColumn id="3" name="Revenj" dataDxfId="166"/>
    <tableColumn id="11" name="fastJSON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 Platform Java" dataDxfId="160"/>
    <tableColumn id="9" name="Genson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AverageNumbers[](Table66[Newtonsoft])</calculatedColumnFormula>
    </tableColumn>
    <tableColumn id="3" name="Revenj" dataDxfId="154"/>
    <tableColumn id="11" name="fastJSON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 Platform Java" dataDxfId="148"/>
    <tableColumn id="9" name="Genson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AverageNumbers[](Table71[Newtonsoft])</calculatedColumnFormula>
    </tableColumn>
    <tableColumn id="3" name="Revenj" dataDxfId="142"/>
    <tableColumn id="11" name="fastJSON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 Platform Java" dataDxfId="136"/>
    <tableColumn id="9" name="Genson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AverageNumbers[](Table71[Newtonsoft])</calculatedColumnFormula>
    </tableColumn>
    <tableColumn id="3" name="Revenj" dataDxfId="130"/>
    <tableColumn id="11" name="fastJSON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 Platform Java" dataDxfId="124"/>
    <tableColumn id="9" name="Genson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AverageNumbers[](Table76[Newtonsoft])</calculatedColumnFormula>
    </tableColumn>
    <tableColumn id="3" name="Revenj" dataDxfId="118"/>
    <tableColumn id="11" name="fastJSON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 Platform Java" dataDxfId="112"/>
    <tableColumn id="9" name="Genson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AverageNumbers[](Table76[Newtonsoft])</calculatedColumnFormula>
    </tableColumn>
    <tableColumn id="3" name="Revenj" dataDxfId="106"/>
    <tableColumn id="11" name="fastJSON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 Platform Java" dataDxfId="100"/>
    <tableColumn id="9" name="Genson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AverageNumbers[](Table16[Newtonsoft])</calculatedColumnFormula>
    </tableColumn>
    <tableColumn id="3" name="Revenj" dataDxfId="406"/>
    <tableColumn id="11" name="fastJSON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 Platform Java" dataDxfId="400"/>
    <tableColumn id="9" name="Genson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AverageNumbers[](Table81[Newtonsoft])</calculatedColumnFormula>
    </tableColumn>
    <tableColumn id="3" name="Revenj" dataDxfId="94"/>
    <tableColumn id="11" name="fastJSON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 Platform Java" dataDxfId="88"/>
    <tableColumn id="9" name="Genson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AverageNumbers[](Table81[Newtonsoft])</calculatedColumnFormula>
    </tableColumn>
    <tableColumn id="3" name="Revenj" dataDxfId="82"/>
    <tableColumn id="11" name="fastJSON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 Platform Java" dataDxfId="76"/>
    <tableColumn id="9" name="Genson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AverageNumbers[](Table86[Newtonsoft])</calculatedColumnFormula>
    </tableColumn>
    <tableColumn id="3" name="Revenj" dataDxfId="70"/>
    <tableColumn id="11" name="fastJSON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 Platform Java" dataDxfId="64"/>
    <tableColumn id="9" name="Genson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AverageNumbers[](Table86[Newtonsoft])</calculatedColumnFormula>
    </tableColumn>
    <tableColumn id="3" name="Revenj" dataDxfId="58"/>
    <tableColumn id="11" name="fastJSON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 Platform Java" dataDxfId="52"/>
    <tableColumn id="9" name="Genson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AverageNumbers[](Table16[Newtonsoft])</calculatedColumnFormula>
    </tableColumn>
    <tableColumn id="3" name="Revenj" dataDxfId="394"/>
    <tableColumn id="11" name="fastJSON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 Platform Java" dataDxfId="388"/>
    <tableColumn id="9" name="Genson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 (DSL model)" dataDxfId="47">
      <calculatedColumnFormula>AverageNumbers[](Table91[Newtonsoft])</calculatedColumnFormula>
    </tableColumn>
    <tableColumn id="3" name="Revenj" dataDxfId="46"/>
    <tableColumn id="11" name="fastJSON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 Platform Java" dataDxfId="40"/>
    <tableColumn id="9" name="Genson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AverageNumbers[](Table91[Newtonsoft])</calculatedColumnFormula>
    </tableColumn>
    <tableColumn id="3" name="Revenj" dataDxfId="34"/>
    <tableColumn id="11" name="fastJSON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 Platform Java" dataDxfId="28"/>
    <tableColumn id="9" name="Genson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 (DSL model)" dataDxfId="23">
      <calculatedColumnFormula>AverageNumbers[](Table96[Newtonsoft])</calculatedColumnFormula>
    </tableColumn>
    <tableColumn id="3" name="Revenj" dataDxfId="22"/>
    <tableColumn id="11" name="fastJSON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 Platform Java" dataDxfId="16"/>
    <tableColumn id="9" name="Genson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AverageNumbers[](Table96[Newtonsoft])</calculatedColumnFormula>
    </tableColumn>
    <tableColumn id="3" name="Revenj" dataDxfId="10"/>
    <tableColumn id="11" name="fastJSON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 Platform Java" dataDxfId="4"/>
    <tableColumn id="9" name="Genson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5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vmlDrawing" Target="../drawings/vmlDrawing5.vml"/><Relationship Id="rId7" Type="http://schemas.openxmlformats.org/officeDocument/2006/relationships/table" Target="../tables/table5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4" Type="http://schemas.openxmlformats.org/officeDocument/2006/relationships/table" Target="../tables/table56.xml"/><Relationship Id="rId9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6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Relationship Id="rId9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vmlDrawing" Target="../drawings/vmlDrawing7.vml"/><Relationship Id="rId7" Type="http://schemas.openxmlformats.org/officeDocument/2006/relationships/table" Target="../tables/table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Relationship Id="rId9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3" Type="http://schemas.openxmlformats.org/officeDocument/2006/relationships/vmlDrawing" Target="../drawings/vmlDrawing8.vml"/><Relationship Id="rId7" Type="http://schemas.openxmlformats.org/officeDocument/2006/relationships/table" Target="../tables/table7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3.xml"/><Relationship Id="rId5" Type="http://schemas.openxmlformats.org/officeDocument/2006/relationships/table" Target="../tables/table72.xml"/><Relationship Id="rId4" Type="http://schemas.openxmlformats.org/officeDocument/2006/relationships/table" Target="../tables/table71.xml"/><Relationship Id="rId9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3" Type="http://schemas.openxmlformats.org/officeDocument/2006/relationships/vmlDrawing" Target="../drawings/vmlDrawing9.vml"/><Relationship Id="rId7" Type="http://schemas.openxmlformats.org/officeDocument/2006/relationships/table" Target="../tables/table7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Relationship Id="rId9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5.xml"/><Relationship Id="rId3" Type="http://schemas.openxmlformats.org/officeDocument/2006/relationships/vmlDrawing" Target="../drawings/vmlDrawing10.vml"/><Relationship Id="rId7" Type="http://schemas.openxmlformats.org/officeDocument/2006/relationships/table" Target="../tables/table8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3.xml"/><Relationship Id="rId5" Type="http://schemas.openxmlformats.org/officeDocument/2006/relationships/table" Target="../tables/table82.xml"/><Relationship Id="rId4" Type="http://schemas.openxmlformats.org/officeDocument/2006/relationships/table" Target="../tables/table81.xml"/><Relationship Id="rId9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0.xml"/><Relationship Id="rId3" Type="http://schemas.openxmlformats.org/officeDocument/2006/relationships/vmlDrawing" Target="../drawings/vmlDrawing11.vml"/><Relationship Id="rId7" Type="http://schemas.openxmlformats.org/officeDocument/2006/relationships/table" Target="../tables/table8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8.xml"/><Relationship Id="rId5" Type="http://schemas.openxmlformats.org/officeDocument/2006/relationships/table" Target="../tables/table87.xml"/><Relationship Id="rId4" Type="http://schemas.openxmlformats.org/officeDocument/2006/relationships/table" Target="../tables/table86.xml"/><Relationship Id="rId9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72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35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AVERAGE(Instance[Newtonsoft])</f>
        <v>168.6</v>
      </c>
      <c r="D38" s="2">
        <f>AVERAGE(Instance[Revenj])</f>
        <v>181.4</v>
      </c>
      <c r="E38" s="2">
        <f>AVERAGE(Instance[fastJSON])</f>
        <v>172.2</v>
      </c>
      <c r="F38" s="2">
        <f>AVERAGE(Instance[Service Stack])</f>
        <v>168.8</v>
      </c>
      <c r="G38" s="2">
        <f>AVERAGE(Instance[Jil])</f>
        <v>168.4</v>
      </c>
      <c r="H38" s="2">
        <f>AVERAGE(Instance[NetJSON])</f>
        <v>169.4</v>
      </c>
      <c r="I38" s="2">
        <f>AVERAGE(Instance[Jackson])</f>
        <v>1</v>
      </c>
      <c r="J38" s="2">
        <f>AVERAGE(Instance[DSL Platform Java])</f>
        <v>1</v>
      </c>
      <c r="K38" s="2">
        <f>AVERAGE(Instance[Genson])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>
      <c r="B39" t="s">
        <v>0</v>
      </c>
      <c r="C39" s="2">
        <f>AVERAGE(Serialization[Newtonsoft]) - C38</f>
        <v>74.200000000000017</v>
      </c>
      <c r="D39" s="2">
        <f>AVERAGE(Serialization[Revenj]) - D38</f>
        <v>2.5999999999999943</v>
      </c>
      <c r="E39" s="2">
        <f>AVERAGE(Serialization[fastJSON]) - E38</f>
        <v>8.2000000000000171</v>
      </c>
      <c r="F39" s="2">
        <f>AVERAGE(Serialization[Service Stack]) - F38</f>
        <v>115.59999999999997</v>
      </c>
      <c r="G39" s="2">
        <f>AVERAGE(Serialization[Jil]) - G38</f>
        <v>164.99999999999997</v>
      </c>
      <c r="H39" s="2">
        <f>AVERAGE(Serialization[NetJSON]) - H38</f>
        <v>50.400000000000006</v>
      </c>
      <c r="I39" s="2">
        <f>AVERAGE(Serialization[Jackson]) - I38</f>
        <v>63.599999999999994</v>
      </c>
      <c r="J39" s="2">
        <f>AVERAGE(Serialization[DSL Platform Java]) - J38</f>
        <v>0</v>
      </c>
      <c r="K39" s="2">
        <f>AVERAGE(Serialization[Genson]) - K38</f>
        <v>41</v>
      </c>
      <c r="L39" s="2">
        <f>AVERAGE(Serialization[Boon]) - L38</f>
        <v>67</v>
      </c>
      <c r="M39" s="2">
        <f>AVERAGE(Serialization[Alibaba]) - M38</f>
        <v>113.2</v>
      </c>
      <c r="N39" s="2">
        <f>AVERAGE(Serialization[Gson]) - N38</f>
        <v>24.6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15</v>
      </c>
      <c r="D40" s="2">
        <f t="shared" si="0"/>
        <v>7.5999999999999943</v>
      </c>
      <c r="E40" s="2">
        <f t="shared" ref="E40" si="1">E41 - E39 - E38</f>
        <v>7.7999999999999829</v>
      </c>
      <c r="F40" s="2">
        <f t="shared" si="0"/>
        <v>15.200000000000045</v>
      </c>
      <c r="G40" s="2">
        <f t="shared" si="0"/>
        <v>65.400000000000034</v>
      </c>
      <c r="H40" s="2">
        <f t="shared" si="0"/>
        <v>1.1999999999999886</v>
      </c>
      <c r="I40" s="2">
        <f t="shared" ref="I40" si="2">I41 - I39 - I38</f>
        <v>35.200000000000003</v>
      </c>
      <c r="J40" s="2">
        <f t="shared" ref="J40" si="3">J41 - J39 - J38</f>
        <v>1.4</v>
      </c>
      <c r="K40" s="2">
        <f t="shared" ref="K40:L40" si="4">K41 - K39 - K38</f>
        <v>3.7999999999999972</v>
      </c>
      <c r="L40" s="2">
        <f t="shared" si="4"/>
        <v>32</v>
      </c>
      <c r="M40" s="2">
        <f t="shared" ref="M40" si="5">M41 - M39 - M38</f>
        <v>20.600000000000009</v>
      </c>
      <c r="N40" s="2">
        <f t="shared" ref="N40" si="6">N41 - N39 - N38</f>
        <v>2.7999999999999972</v>
      </c>
      <c r="O40" s="2"/>
      <c r="P40" s="2"/>
      <c r="Q40" s="2"/>
    </row>
    <row r="41" spans="2:17">
      <c r="B41" t="s">
        <v>25</v>
      </c>
      <c r="C41" s="2">
        <f>AVERAGE(Both[Newtonsoft])</f>
        <v>257.8</v>
      </c>
      <c r="D41" s="2">
        <f>AVERAGE(Both[Revenj])</f>
        <v>191.6</v>
      </c>
      <c r="E41" s="2">
        <f>AVERAGE(Both[fastJSON])</f>
        <v>188.2</v>
      </c>
      <c r="F41" s="2">
        <f>AVERAGE(Both[Service Stack])</f>
        <v>299.60000000000002</v>
      </c>
      <c r="G41" s="2">
        <f>AVERAGE(Both[Jil])</f>
        <v>398.8</v>
      </c>
      <c r="H41" s="2">
        <f>AVERAGE(Both[NetJSON])</f>
        <v>221</v>
      </c>
      <c r="I41" s="2">
        <f>AVERAGE(Both[Jackson])</f>
        <v>99.8</v>
      </c>
      <c r="J41" s="2">
        <f>AVERAGE(Both[DSL Platform Java])</f>
        <v>2.4</v>
      </c>
      <c r="K41" s="2">
        <f>AVERAGE(Both[Genson])</f>
        <v>45.8</v>
      </c>
      <c r="L41" s="2">
        <f>AVERAGE(Both[Boon])</f>
        <v>100</v>
      </c>
      <c r="M41" s="2">
        <f>AVERAGE(Both[Alibaba])</f>
        <v>134.80000000000001</v>
      </c>
      <c r="N41" s="2">
        <f>AVERAGE(Both[Gson])</f>
        <v>28.4</v>
      </c>
      <c r="O41" s="2"/>
      <c r="P41" s="2"/>
      <c r="Q41" s="2"/>
    </row>
    <row r="42" spans="2:17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AVERAGE(Serialization[fastJSON (size)])</f>
        <v>40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28</v>
      </c>
      <c r="J42" s="2">
        <f>AVERAGE(Serialization[DSL Platform Java (size)])</f>
        <v>28</v>
      </c>
      <c r="K42" s="2">
        <f>AVERAGE(Serialization[Genson (size)])</f>
        <v>40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DEVSQ(Serialization[Newtonsoft])</f>
        <v>0.8</v>
      </c>
      <c r="D47" s="2">
        <f>DEVSQ(Serialization[Revenj])</f>
        <v>0</v>
      </c>
      <c r="E47" s="2">
        <f>DEVSQ(Serialization[fastJSON])</f>
        <v>1.2</v>
      </c>
      <c r="F47" s="2">
        <f>DEVSQ(Serialization[Service Stack])</f>
        <v>1.2000000000000002</v>
      </c>
      <c r="G47" s="2">
        <f>DEVSQ(Serialization[Jil])</f>
        <v>3.2000000000000006</v>
      </c>
      <c r="H47" s="2">
        <f>DEVSQ(Serialization[NetJSON])</f>
        <v>2.8000000000000003</v>
      </c>
      <c r="I47" s="2">
        <f>DEVSQ(Serialization[Jackson])</f>
        <v>1.2</v>
      </c>
      <c r="J47" s="2">
        <f>DEVSQ(Serialization[DSL Platform Java])</f>
        <v>0</v>
      </c>
      <c r="K47" s="2">
        <f>DEVSQ(Serialization[Genson])</f>
        <v>0</v>
      </c>
      <c r="L47" s="2">
        <f>DEVSQ(Serialization[Boon])</f>
        <v>2</v>
      </c>
      <c r="M47" s="2">
        <f>DEVSQ(Serialization[Alibaba])</f>
        <v>0.8</v>
      </c>
      <c r="N47" s="2">
        <f>DEVSQ(Serialization[Gson])</f>
        <v>1.2</v>
      </c>
      <c r="O47" s="2"/>
      <c r="P47" s="2"/>
      <c r="Q47" s="2"/>
    </row>
    <row r="48" spans="2:17">
      <c r="B48" t="s">
        <v>25</v>
      </c>
      <c r="C48" s="2">
        <f>DEVSQ(Both[Newtonsoft])</f>
        <v>2.8</v>
      </c>
      <c r="D48" s="2">
        <f>DEVSQ(Both[Revenj])</f>
        <v>5.2</v>
      </c>
      <c r="E48" s="2">
        <f>DEVSQ(Both[fastJSON])</f>
        <v>0.8</v>
      </c>
      <c r="F48" s="2">
        <f>DEVSQ(Both[Service Stack])</f>
        <v>1.2000000000000002</v>
      </c>
      <c r="G48" s="2">
        <f>DEVSQ(Both[Jil])</f>
        <v>10.8</v>
      </c>
      <c r="H48" s="2">
        <f>DEVSQ(Both[NetJSON])</f>
        <v>2</v>
      </c>
      <c r="I48" s="2">
        <f>DEVSQ(Both[Jackson])</f>
        <v>4.7999999999999989</v>
      </c>
      <c r="J48" s="2">
        <f>DEVSQ(Both[DSL Platform Java])</f>
        <v>1.2</v>
      </c>
      <c r="K48" s="2">
        <f>DEVSQ(Both[Genson])</f>
        <v>0.8</v>
      </c>
      <c r="L48" s="2">
        <f>DEVSQ(Both[Boon])</f>
        <v>2</v>
      </c>
      <c r="M48" s="2">
        <f>DEVSQ(Both[Alibaba])</f>
        <v>0.8</v>
      </c>
      <c r="N48" s="2">
        <f>DEVSQ(Both[Gson])</f>
        <v>1.2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168</v>
      </c>
      <c r="C52">
        <v>182</v>
      </c>
      <c r="D52">
        <v>172</v>
      </c>
      <c r="E52">
        <v>168</v>
      </c>
      <c r="F52">
        <v>169</v>
      </c>
      <c r="G52">
        <v>169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>
      <c r="B53">
        <v>170</v>
      </c>
      <c r="C53">
        <v>181</v>
      </c>
      <c r="D53">
        <v>172</v>
      </c>
      <c r="E53">
        <v>169</v>
      </c>
      <c r="F53">
        <v>168</v>
      </c>
      <c r="G53">
        <v>170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>
      <c r="B54">
        <v>169</v>
      </c>
      <c r="C54">
        <v>181</v>
      </c>
      <c r="D54">
        <v>173</v>
      </c>
      <c r="E54">
        <v>169</v>
      </c>
      <c r="F54">
        <v>168</v>
      </c>
      <c r="G54">
        <v>170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2:25">
      <c r="B55">
        <v>168</v>
      </c>
      <c r="C55">
        <v>181</v>
      </c>
      <c r="D55">
        <v>172</v>
      </c>
      <c r="E55">
        <v>169</v>
      </c>
      <c r="F55">
        <v>169</v>
      </c>
      <c r="G55">
        <v>169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2:25">
      <c r="B56">
        <v>168</v>
      </c>
      <c r="C56">
        <v>182</v>
      </c>
      <c r="D56">
        <v>172</v>
      </c>
      <c r="E56">
        <v>169</v>
      </c>
      <c r="F56">
        <v>168</v>
      </c>
      <c r="G56">
        <v>169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243</v>
      </c>
      <c r="C60">
        <v>184</v>
      </c>
      <c r="D60">
        <v>180</v>
      </c>
      <c r="E60">
        <v>284</v>
      </c>
      <c r="F60">
        <v>335</v>
      </c>
      <c r="G60">
        <v>220</v>
      </c>
      <c r="H60">
        <v>65</v>
      </c>
      <c r="I60">
        <v>1</v>
      </c>
      <c r="J60">
        <v>42</v>
      </c>
      <c r="K60">
        <v>69</v>
      </c>
      <c r="L60">
        <v>114</v>
      </c>
      <c r="M60">
        <v>26</v>
      </c>
      <c r="N60">
        <v>40</v>
      </c>
      <c r="O60">
        <v>28</v>
      </c>
      <c r="P60">
        <v>40</v>
      </c>
      <c r="Q60">
        <v>40</v>
      </c>
      <c r="R60">
        <v>40</v>
      </c>
      <c r="S60">
        <v>28</v>
      </c>
      <c r="T60">
        <v>28</v>
      </c>
      <c r="U60">
        <v>28</v>
      </c>
      <c r="V60">
        <v>40</v>
      </c>
      <c r="W60">
        <v>28</v>
      </c>
      <c r="X60">
        <v>40</v>
      </c>
      <c r="Y60">
        <v>40</v>
      </c>
    </row>
    <row r="61" spans="2:25">
      <c r="B61">
        <v>243</v>
      </c>
      <c r="C61">
        <v>184</v>
      </c>
      <c r="D61">
        <v>181</v>
      </c>
      <c r="E61">
        <v>285</v>
      </c>
      <c r="F61">
        <v>333</v>
      </c>
      <c r="G61">
        <v>219</v>
      </c>
      <c r="H61">
        <v>65</v>
      </c>
      <c r="I61">
        <v>1</v>
      </c>
      <c r="J61">
        <v>42</v>
      </c>
      <c r="K61">
        <v>68</v>
      </c>
      <c r="L61">
        <v>115</v>
      </c>
      <c r="M61">
        <v>25</v>
      </c>
      <c r="N61">
        <v>40</v>
      </c>
      <c r="O61">
        <v>28</v>
      </c>
      <c r="P61">
        <v>40</v>
      </c>
      <c r="Q61">
        <v>40</v>
      </c>
      <c r="R61">
        <v>40</v>
      </c>
      <c r="S61">
        <v>28</v>
      </c>
      <c r="T61">
        <v>28</v>
      </c>
      <c r="U61">
        <v>28</v>
      </c>
      <c r="V61">
        <v>40</v>
      </c>
      <c r="W61">
        <v>28</v>
      </c>
      <c r="X61">
        <v>40</v>
      </c>
      <c r="Y61">
        <v>40</v>
      </c>
    </row>
    <row r="62" spans="2:25">
      <c r="B62">
        <v>243</v>
      </c>
      <c r="C62">
        <v>184</v>
      </c>
      <c r="D62">
        <v>180</v>
      </c>
      <c r="E62">
        <v>284</v>
      </c>
      <c r="F62">
        <v>333</v>
      </c>
      <c r="G62">
        <v>221</v>
      </c>
      <c r="H62">
        <v>64</v>
      </c>
      <c r="I62">
        <v>1</v>
      </c>
      <c r="J62">
        <v>42</v>
      </c>
      <c r="K62">
        <v>68</v>
      </c>
      <c r="L62">
        <v>114</v>
      </c>
      <c r="M62">
        <v>25</v>
      </c>
      <c r="N62">
        <v>40</v>
      </c>
      <c r="O62">
        <v>28</v>
      </c>
      <c r="P62">
        <v>40</v>
      </c>
      <c r="Q62">
        <v>40</v>
      </c>
      <c r="R62">
        <v>40</v>
      </c>
      <c r="S62">
        <v>28</v>
      </c>
      <c r="T62">
        <v>28</v>
      </c>
      <c r="U62">
        <v>28</v>
      </c>
      <c r="V62">
        <v>40</v>
      </c>
      <c r="W62">
        <v>28</v>
      </c>
      <c r="X62">
        <v>40</v>
      </c>
      <c r="Y62">
        <v>40</v>
      </c>
    </row>
    <row r="63" spans="2:25">
      <c r="B63">
        <v>243</v>
      </c>
      <c r="C63">
        <v>184</v>
      </c>
      <c r="D63">
        <v>180</v>
      </c>
      <c r="E63">
        <v>284</v>
      </c>
      <c r="F63">
        <v>333</v>
      </c>
      <c r="G63">
        <v>220</v>
      </c>
      <c r="H63">
        <v>64</v>
      </c>
      <c r="I63">
        <v>1</v>
      </c>
      <c r="J63">
        <v>42</v>
      </c>
      <c r="K63">
        <v>68</v>
      </c>
      <c r="L63">
        <v>114</v>
      </c>
      <c r="M63">
        <v>26</v>
      </c>
      <c r="N63">
        <v>40</v>
      </c>
      <c r="O63">
        <v>28</v>
      </c>
      <c r="P63">
        <v>40</v>
      </c>
      <c r="Q63">
        <v>40</v>
      </c>
      <c r="R63">
        <v>40</v>
      </c>
      <c r="S63">
        <v>28</v>
      </c>
      <c r="T63">
        <v>28</v>
      </c>
      <c r="U63">
        <v>28</v>
      </c>
      <c r="V63">
        <v>40</v>
      </c>
      <c r="W63">
        <v>28</v>
      </c>
      <c r="X63">
        <v>40</v>
      </c>
      <c r="Y63">
        <v>40</v>
      </c>
    </row>
    <row r="64" spans="2:25">
      <c r="B64">
        <v>242</v>
      </c>
      <c r="C64">
        <v>184</v>
      </c>
      <c r="D64">
        <v>181</v>
      </c>
      <c r="E64">
        <v>285</v>
      </c>
      <c r="F64">
        <v>333</v>
      </c>
      <c r="G64">
        <v>219</v>
      </c>
      <c r="H64">
        <v>65</v>
      </c>
      <c r="I64">
        <v>1</v>
      </c>
      <c r="J64">
        <v>42</v>
      </c>
      <c r="K64">
        <v>67</v>
      </c>
      <c r="L64">
        <v>114</v>
      </c>
      <c r="M64">
        <v>26</v>
      </c>
      <c r="N64">
        <v>40</v>
      </c>
      <c r="O64">
        <v>28</v>
      </c>
      <c r="P64">
        <v>40</v>
      </c>
      <c r="Q64">
        <v>40</v>
      </c>
      <c r="R64">
        <v>40</v>
      </c>
      <c r="S64">
        <v>28</v>
      </c>
      <c r="T64">
        <v>28</v>
      </c>
      <c r="U64">
        <v>28</v>
      </c>
      <c r="V64">
        <v>40</v>
      </c>
      <c r="W64">
        <v>28</v>
      </c>
      <c r="X64">
        <v>40</v>
      </c>
      <c r="Y64">
        <v>40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257</v>
      </c>
      <c r="C68">
        <v>191</v>
      </c>
      <c r="D68">
        <v>188</v>
      </c>
      <c r="E68">
        <v>299</v>
      </c>
      <c r="F68">
        <v>397</v>
      </c>
      <c r="G68">
        <v>220</v>
      </c>
      <c r="H68">
        <v>98</v>
      </c>
      <c r="I68">
        <v>3</v>
      </c>
      <c r="J68">
        <v>45</v>
      </c>
      <c r="K68">
        <v>100</v>
      </c>
      <c r="L68">
        <v>135</v>
      </c>
      <c r="M68">
        <v>28</v>
      </c>
    </row>
    <row r="69" spans="2:13">
      <c r="B69">
        <v>258</v>
      </c>
      <c r="C69">
        <v>192</v>
      </c>
      <c r="D69">
        <v>188</v>
      </c>
      <c r="E69">
        <v>300</v>
      </c>
      <c r="F69">
        <v>398</v>
      </c>
      <c r="G69">
        <v>222</v>
      </c>
      <c r="H69">
        <v>101</v>
      </c>
      <c r="I69">
        <v>2</v>
      </c>
      <c r="J69">
        <v>46</v>
      </c>
      <c r="K69">
        <v>100</v>
      </c>
      <c r="L69">
        <v>135</v>
      </c>
      <c r="M69">
        <v>28</v>
      </c>
    </row>
    <row r="70" spans="2:13">
      <c r="B70">
        <v>258</v>
      </c>
      <c r="C70">
        <v>192</v>
      </c>
      <c r="D70">
        <v>188</v>
      </c>
      <c r="E70">
        <v>299</v>
      </c>
      <c r="F70">
        <v>401</v>
      </c>
      <c r="G70">
        <v>221</v>
      </c>
      <c r="H70">
        <v>100</v>
      </c>
      <c r="I70">
        <v>3</v>
      </c>
      <c r="J70">
        <v>46</v>
      </c>
      <c r="K70">
        <v>100</v>
      </c>
      <c r="L70">
        <v>135</v>
      </c>
      <c r="M70">
        <v>28</v>
      </c>
    </row>
    <row r="71" spans="2:13">
      <c r="B71">
        <v>257</v>
      </c>
      <c r="C71">
        <v>193</v>
      </c>
      <c r="D71">
        <v>189</v>
      </c>
      <c r="E71">
        <v>300</v>
      </c>
      <c r="F71">
        <v>398</v>
      </c>
      <c r="G71">
        <v>221</v>
      </c>
      <c r="H71">
        <v>100</v>
      </c>
      <c r="I71">
        <v>2</v>
      </c>
      <c r="J71">
        <v>46</v>
      </c>
      <c r="K71">
        <v>101</v>
      </c>
      <c r="L71">
        <v>134</v>
      </c>
      <c r="M71">
        <v>29</v>
      </c>
    </row>
    <row r="72" spans="2:13">
      <c r="B72">
        <v>259</v>
      </c>
      <c r="C72">
        <v>190</v>
      </c>
      <c r="D72">
        <v>188</v>
      </c>
      <c r="E72">
        <v>300</v>
      </c>
      <c r="F72">
        <v>400</v>
      </c>
      <c r="G72">
        <v>221</v>
      </c>
      <c r="H72">
        <v>100</v>
      </c>
      <c r="I72">
        <v>2</v>
      </c>
      <c r="J72">
        <v>46</v>
      </c>
      <c r="K72">
        <v>99</v>
      </c>
      <c r="L72">
        <v>135</v>
      </c>
      <c r="M72">
        <v>29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44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AVERAGE(Table57[Newtonsoft])</f>
        <v>32228.799999999999</v>
      </c>
      <c r="D38" s="2">
        <f>AVERAGE(Table57[Revenj])</f>
        <v>32524</v>
      </c>
      <c r="E38" s="2">
        <f>AVERAGE(Table57[fastJSON])</f>
        <v>33482.400000000001</v>
      </c>
      <c r="F38" s="2">
        <f>AVERAGE(Table57[Service Stack])</f>
        <v>33820</v>
      </c>
      <c r="G38" s="2">
        <f>AVERAGE(Table57[Jil])</f>
        <v>33577.599999999999</v>
      </c>
      <c r="H38" s="2">
        <f>AVERAGE(Table57[NetJSON])</f>
        <v>33921</v>
      </c>
      <c r="I38" s="2">
        <f>AVERAGE(Table57[Jackson])</f>
        <v>24058.6</v>
      </c>
      <c r="J38" s="2">
        <f>AVERAGE(Table57[DSL Platform Java])</f>
        <v>23858.2</v>
      </c>
      <c r="K38" s="2">
        <f>AVERAGE(Table57[Genson])</f>
        <v>23918.2</v>
      </c>
      <c r="L38" s="2">
        <f>AVERAGE(Table57[Boon])</f>
        <v>23667.4</v>
      </c>
      <c r="M38" s="2">
        <f>AVERAGE(Table57[Alibaba])</f>
        <v>23859.4</v>
      </c>
      <c r="N38" s="2">
        <f>AVERAGE(Table57[Gson])</f>
        <v>24197.4</v>
      </c>
      <c r="O38" s="2"/>
      <c r="P38" s="2"/>
      <c r="Q38" s="2"/>
    </row>
    <row r="39" spans="2:17">
      <c r="B39" t="s">
        <v>0</v>
      </c>
      <c r="C39" s="2">
        <f>AVERAGE(Table56[Newtonsoft]) - C38</f>
        <v>58066.8</v>
      </c>
      <c r="D39" s="2">
        <f>AVERAGE(Table56[Revenj]) - D38</f>
        <v>20351.199999999997</v>
      </c>
      <c r="E39" s="2">
        <f>AVERAGE(Table56[fastJSON]) - E38</f>
        <v>107003.20000000001</v>
      </c>
      <c r="F39" s="2">
        <f>AVERAGE(Table56[Service Stack]) - F38</f>
        <v>58285.2</v>
      </c>
      <c r="G39" s="2">
        <f>AVERAGE(Table56[Jil]) - G38</f>
        <v>54871.000000000007</v>
      </c>
      <c r="H39" s="2" t="e">
        <f>AVERAGE(Table56[NetJSON]) - H38</f>
        <v>#DIV/0!</v>
      </c>
      <c r="I39" s="2">
        <f>AVERAGE(Table56[Jackson]) - I38</f>
        <v>14421.400000000001</v>
      </c>
      <c r="J39" s="2">
        <f>AVERAGE(Table56[DSL Platform Java]) - J38</f>
        <v>3348</v>
      </c>
      <c r="K39" s="2">
        <f>AVERAGE(Table56[Genson]) - K38</f>
        <v>48486</v>
      </c>
      <c r="L39" s="2">
        <f>AVERAGE(Table56[Boon]) - L38</f>
        <v>19701.799999999996</v>
      </c>
      <c r="M39" s="4" t="s">
        <v>54</v>
      </c>
      <c r="N39" s="2">
        <f>AVERAGE(Table56[Gson]) - N38</f>
        <v>30369.599999999999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111022.60000000002</v>
      </c>
      <c r="D40" s="2">
        <f t="shared" si="0"/>
        <v>42459.400000000009</v>
      </c>
      <c r="E40" s="2">
        <f t="shared" ref="E40" si="1">E41 - E39 - E38</f>
        <v>106663.6</v>
      </c>
      <c r="F40" s="2">
        <f t="shared" si="0"/>
        <v>107222.59999999998</v>
      </c>
      <c r="G40" s="2">
        <f t="shared" si="0"/>
        <v>43987.4</v>
      </c>
      <c r="H40" s="2" t="e">
        <f t="shared" si="0"/>
        <v>#DIV/0!</v>
      </c>
      <c r="I40" s="2">
        <f t="shared" ref="I40" si="2">I41 - I39 - I38</f>
        <v>25852.800000000003</v>
      </c>
      <c r="J40" s="2">
        <f t="shared" ref="J40" si="3">J41 - J39 - J38</f>
        <v>4842</v>
      </c>
      <c r="K40" s="2">
        <f t="shared" ref="K40:L40" si="4">K41 - K39 - K38</f>
        <v>40173.600000000006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50410.399999999987</v>
      </c>
      <c r="O40" s="2"/>
      <c r="P40" s="2"/>
      <c r="Q40" s="2"/>
    </row>
    <row r="41" spans="2:17">
      <c r="B41" t="s">
        <v>25</v>
      </c>
      <c r="C41" s="2">
        <f>AVERAGE(Table58[Newtonsoft])</f>
        <v>201318.2</v>
      </c>
      <c r="D41" s="2">
        <f>AVERAGE(Table58[Revenj])</f>
        <v>95334.6</v>
      </c>
      <c r="E41" s="2">
        <f>AVERAGE(Table58[fastJSON])</f>
        <v>247149.2</v>
      </c>
      <c r="F41" s="2">
        <f>AVERAGE(Table58[Service Stack])</f>
        <v>199327.8</v>
      </c>
      <c r="G41" s="2">
        <f>AVERAGE(Table58[Jil])</f>
        <v>132436</v>
      </c>
      <c r="H41" s="2" t="e">
        <f>AVERAGE(Table58[NetJSON])</f>
        <v>#DIV/0!</v>
      </c>
      <c r="I41" s="2">
        <f>AVERAGE(Table58[Jackson])</f>
        <v>64332.800000000003</v>
      </c>
      <c r="J41" s="2">
        <f>AVERAGE(Table58[DSL Platform Java])</f>
        <v>32048.2</v>
      </c>
      <c r="K41" s="2">
        <f>AVERAGE(Table58[Genson])</f>
        <v>112577.8</v>
      </c>
      <c r="L41" s="2" t="e">
        <f>AVERAGE(Table58[Boon])</f>
        <v>#DIV/0!</v>
      </c>
      <c r="M41" s="4" t="s">
        <v>54</v>
      </c>
      <c r="N41" s="2">
        <f>AVERAGE(Table58[Gson])</f>
        <v>104977.4</v>
      </c>
      <c r="O41" s="2"/>
      <c r="P41" s="2"/>
      <c r="Q41" s="2"/>
    </row>
    <row r="42" spans="2:17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AVERAGE(Table56[fastJSON (size)])</f>
        <v>1093888890</v>
      </c>
      <c r="F42" s="3">
        <f>AVERAGE(Table56[Service Stack (size)])</f>
        <v>1203888890</v>
      </c>
      <c r="G42" s="2">
        <f>AVERAGE(Table56[Jil (size)])</f>
        <v>1243888890</v>
      </c>
      <c r="H42" s="2" t="e">
        <f>AVERAGE(Table56[NetJSON (size)])</f>
        <v>#DIV/0!</v>
      </c>
      <c r="I42" s="2">
        <f>AVERAGE(Table56[Jackson (size)])</f>
        <v>1038888890</v>
      </c>
      <c r="J42" s="2">
        <f>AVERAGE(Table56[DSL Platform Java (size)])</f>
        <v>1038888890</v>
      </c>
      <c r="K42" s="2">
        <f>AVERAGE(Table56[Genson (size)])</f>
        <v>1113888890</v>
      </c>
      <c r="L42" s="2">
        <f>AVERAGE(Table56[Boon (size)])</f>
        <v>918888890</v>
      </c>
      <c r="M42" s="4" t="s">
        <v>54</v>
      </c>
      <c r="N42" s="2">
        <f>AVERAGE(Table56[Gson (size)])</f>
        <v>1113888890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DEVSQ(Table56[Newtonsoft])</f>
        <v>10932325.200000001</v>
      </c>
      <c r="D47" s="2">
        <f>DEVSQ(Table56[Revenj])</f>
        <v>490690.8</v>
      </c>
      <c r="E47" s="2">
        <f>DEVSQ(Table56[fastJSON])</f>
        <v>13271535.199999999</v>
      </c>
      <c r="F47" s="2">
        <f>DEVSQ(Table56[Service Stack])</f>
        <v>4764872.7999999989</v>
      </c>
      <c r="G47" s="2">
        <f>DEVSQ(Table56[Jil])</f>
        <v>460409.1999999999</v>
      </c>
      <c r="H47" s="2" t="e">
        <f>DEVSQ(Table56[NetJSON])</f>
        <v>#NUM!</v>
      </c>
      <c r="I47" s="2">
        <f>DEVSQ(Table56[Jackson])</f>
        <v>1324386</v>
      </c>
      <c r="J47" s="2">
        <f>DEVSQ(Table56[DSL Platform Java])</f>
        <v>714430.8</v>
      </c>
      <c r="K47" s="2">
        <f>DEVSQ(Table56[Genson])</f>
        <v>19290500.800000001</v>
      </c>
      <c r="L47" s="2">
        <f>DEVSQ(Table56[Boon])</f>
        <v>1251102.8</v>
      </c>
      <c r="M47" s="2">
        <f>DEVSQ(Table56[Alibaba])</f>
        <v>13957254</v>
      </c>
      <c r="N47" s="2">
        <f>DEVSQ(Table56[Gson])</f>
        <v>2192026</v>
      </c>
      <c r="O47" s="2"/>
      <c r="P47" s="2"/>
      <c r="Q47" s="2"/>
    </row>
    <row r="48" spans="2:17">
      <c r="B48" t="s">
        <v>25</v>
      </c>
      <c r="C48" s="2">
        <f>DEVSQ(Table58[Newtonsoft])</f>
        <v>8109306.8000000007</v>
      </c>
      <c r="D48" s="2">
        <f>DEVSQ(Table58[Revenj])</f>
        <v>9178181.1999999993</v>
      </c>
      <c r="E48" s="2">
        <f>DEVSQ(Table58[fastJSON])</f>
        <v>33913030.799999997</v>
      </c>
      <c r="F48" s="2">
        <f>DEVSQ(Table58[Service Stack])</f>
        <v>11318804.799999999</v>
      </c>
      <c r="G48" s="2">
        <f>DEVSQ(Table58[Jil])</f>
        <v>2318526</v>
      </c>
      <c r="H48" s="2" t="e">
        <f>DEVSQ(Table58[NetJSON])</f>
        <v>#NUM!</v>
      </c>
      <c r="I48" s="2">
        <f>DEVSQ(Table58[Jackson])</f>
        <v>11741138.800000001</v>
      </c>
      <c r="J48" s="2">
        <f>DEVSQ(Table58[DSL Platform Java])</f>
        <v>2209464.8000000003</v>
      </c>
      <c r="K48" s="2">
        <f>DEVSQ(Table58[Genson])</f>
        <v>3875814.7999999993</v>
      </c>
      <c r="L48" s="2" t="e">
        <f>DEVSQ(Table58[Boon])</f>
        <v>#NUM!</v>
      </c>
      <c r="M48" s="2">
        <f>DEVSQ(Table58[Alibaba])</f>
        <v>345289728.80000001</v>
      </c>
      <c r="N48" s="2">
        <f>DEVSQ(Table58[Gson])</f>
        <v>3133709.2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32013</v>
      </c>
      <c r="C52">
        <v>33253</v>
      </c>
      <c r="D52">
        <v>32782</v>
      </c>
      <c r="E52">
        <v>33460</v>
      </c>
      <c r="F52">
        <v>33952</v>
      </c>
      <c r="G52">
        <v>32653</v>
      </c>
      <c r="H52">
        <v>23475</v>
      </c>
      <c r="I52">
        <v>23792</v>
      </c>
      <c r="J52">
        <v>23542</v>
      </c>
      <c r="K52">
        <v>24070</v>
      </c>
      <c r="L52">
        <v>23188</v>
      </c>
      <c r="M52">
        <v>24411</v>
      </c>
    </row>
    <row r="53" spans="2:25">
      <c r="B53">
        <v>31833</v>
      </c>
      <c r="C53">
        <v>32683</v>
      </c>
      <c r="D53">
        <v>34306</v>
      </c>
      <c r="E53">
        <v>35186</v>
      </c>
      <c r="F53">
        <v>33088</v>
      </c>
      <c r="G53">
        <v>33836</v>
      </c>
      <c r="H53">
        <v>24862</v>
      </c>
      <c r="I53">
        <v>24061</v>
      </c>
      <c r="J53">
        <v>23786</v>
      </c>
      <c r="K53">
        <v>23757</v>
      </c>
      <c r="L53">
        <v>24479</v>
      </c>
      <c r="M53">
        <v>24830</v>
      </c>
    </row>
    <row r="54" spans="2:25">
      <c r="B54">
        <v>32216</v>
      </c>
      <c r="C54">
        <v>31679</v>
      </c>
      <c r="D54">
        <v>33042</v>
      </c>
      <c r="E54">
        <v>33861</v>
      </c>
      <c r="F54">
        <v>35121</v>
      </c>
      <c r="G54">
        <v>36131</v>
      </c>
      <c r="H54">
        <v>23894</v>
      </c>
      <c r="I54">
        <v>23876</v>
      </c>
      <c r="J54">
        <v>24383</v>
      </c>
      <c r="K54">
        <v>23347</v>
      </c>
      <c r="L54">
        <v>24005</v>
      </c>
      <c r="M54">
        <v>23871</v>
      </c>
    </row>
    <row r="55" spans="2:25">
      <c r="B55">
        <v>32137</v>
      </c>
      <c r="C55">
        <v>32236</v>
      </c>
      <c r="D55">
        <v>34011</v>
      </c>
      <c r="E55">
        <v>32570</v>
      </c>
      <c r="F55">
        <v>33508</v>
      </c>
      <c r="G55">
        <v>33296</v>
      </c>
      <c r="H55">
        <v>23685</v>
      </c>
      <c r="I55">
        <v>23694</v>
      </c>
      <c r="J55">
        <v>24172</v>
      </c>
      <c r="K55">
        <v>23714</v>
      </c>
      <c r="L55">
        <v>23613</v>
      </c>
      <c r="M55">
        <v>23615</v>
      </c>
    </row>
    <row r="56" spans="2:25">
      <c r="B56">
        <v>32945</v>
      </c>
      <c r="C56">
        <v>32769</v>
      </c>
      <c r="D56">
        <v>33271</v>
      </c>
      <c r="E56">
        <v>34023</v>
      </c>
      <c r="F56">
        <v>32219</v>
      </c>
      <c r="G56">
        <v>33689</v>
      </c>
      <c r="H56">
        <v>24377</v>
      </c>
      <c r="I56">
        <v>23868</v>
      </c>
      <c r="J56">
        <v>23708</v>
      </c>
      <c r="K56">
        <v>23449</v>
      </c>
      <c r="L56">
        <v>24012</v>
      </c>
      <c r="M56">
        <v>24260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88745</v>
      </c>
      <c r="C60">
        <v>52737</v>
      </c>
      <c r="D60">
        <v>140056</v>
      </c>
      <c r="E60">
        <v>93489</v>
      </c>
      <c r="F60">
        <v>88507</v>
      </c>
      <c r="H60">
        <v>37982</v>
      </c>
      <c r="I60">
        <v>26686</v>
      </c>
      <c r="J60">
        <v>73362</v>
      </c>
      <c r="K60">
        <v>42801</v>
      </c>
      <c r="L60">
        <v>203239</v>
      </c>
      <c r="M60">
        <v>54042</v>
      </c>
      <c r="N60">
        <v>1213888890</v>
      </c>
      <c r="O60">
        <v>1038888890</v>
      </c>
      <c r="P60">
        <v>1093888890</v>
      </c>
      <c r="Q60">
        <v>1203888890</v>
      </c>
      <c r="R60">
        <v>1243888890</v>
      </c>
      <c r="T60">
        <v>1038888890</v>
      </c>
      <c r="U60">
        <v>1038888890</v>
      </c>
      <c r="V60">
        <v>1113888890</v>
      </c>
      <c r="W60">
        <v>918888890</v>
      </c>
      <c r="X60">
        <v>19618334810</v>
      </c>
      <c r="Y60">
        <v>1113888890</v>
      </c>
    </row>
    <row r="61" spans="2:25">
      <c r="B61">
        <v>91214</v>
      </c>
      <c r="C61">
        <v>52778</v>
      </c>
      <c r="D61">
        <v>141277</v>
      </c>
      <c r="E61">
        <v>90522</v>
      </c>
      <c r="F61">
        <v>88994</v>
      </c>
      <c r="H61">
        <v>39290</v>
      </c>
      <c r="I61">
        <v>26899</v>
      </c>
      <c r="J61">
        <v>68972</v>
      </c>
      <c r="K61">
        <v>43572</v>
      </c>
      <c r="L61">
        <v>203463</v>
      </c>
      <c r="M61">
        <v>55549</v>
      </c>
      <c r="N61">
        <v>1213888890</v>
      </c>
      <c r="O61">
        <v>1038888890</v>
      </c>
      <c r="P61">
        <v>1093888890</v>
      </c>
      <c r="Q61">
        <v>1203888890</v>
      </c>
      <c r="R61">
        <v>1243888890</v>
      </c>
      <c r="T61">
        <v>1038888890</v>
      </c>
      <c r="U61">
        <v>1038888890</v>
      </c>
      <c r="V61">
        <v>1113888890</v>
      </c>
      <c r="W61">
        <v>918888890</v>
      </c>
      <c r="X61">
        <v>19618334810</v>
      </c>
      <c r="Y61">
        <v>1113888890</v>
      </c>
    </row>
    <row r="62" spans="2:25">
      <c r="B62">
        <v>88291</v>
      </c>
      <c r="C62">
        <v>52466</v>
      </c>
      <c r="D62">
        <v>139171</v>
      </c>
      <c r="E62">
        <v>91867</v>
      </c>
      <c r="F62">
        <v>88305</v>
      </c>
      <c r="H62">
        <v>38269</v>
      </c>
      <c r="I62">
        <v>27585</v>
      </c>
      <c r="J62">
        <v>71707</v>
      </c>
      <c r="K62">
        <v>43503</v>
      </c>
      <c r="L62">
        <v>199722</v>
      </c>
      <c r="M62">
        <v>53780</v>
      </c>
      <c r="N62">
        <v>1213888890</v>
      </c>
      <c r="O62">
        <v>1038888890</v>
      </c>
      <c r="P62">
        <v>1093888890</v>
      </c>
      <c r="Q62">
        <v>1203888890</v>
      </c>
      <c r="R62">
        <v>1243888890</v>
      </c>
      <c r="T62">
        <v>1038888890</v>
      </c>
      <c r="U62">
        <v>1038888890</v>
      </c>
      <c r="V62">
        <v>1113888890</v>
      </c>
      <c r="W62">
        <v>918888890</v>
      </c>
      <c r="X62">
        <v>19618334810</v>
      </c>
      <c r="Y62">
        <v>1113888890</v>
      </c>
    </row>
    <row r="63" spans="2:25">
      <c r="B63">
        <v>91922</v>
      </c>
      <c r="C63">
        <v>53406</v>
      </c>
      <c r="D63">
        <v>138695</v>
      </c>
      <c r="E63">
        <v>92633</v>
      </c>
      <c r="F63">
        <v>88090</v>
      </c>
      <c r="H63">
        <v>38860</v>
      </c>
      <c r="I63">
        <v>27660</v>
      </c>
      <c r="J63">
        <v>74724</v>
      </c>
      <c r="K63">
        <v>42836</v>
      </c>
      <c r="L63">
        <v>202492</v>
      </c>
      <c r="M63">
        <v>54359</v>
      </c>
      <c r="N63">
        <v>1213888890</v>
      </c>
      <c r="O63">
        <v>1038888890</v>
      </c>
      <c r="P63">
        <v>1093888890</v>
      </c>
      <c r="Q63">
        <v>1203888890</v>
      </c>
      <c r="R63">
        <v>1243888890</v>
      </c>
      <c r="T63">
        <v>1038888890</v>
      </c>
      <c r="U63">
        <v>1038888890</v>
      </c>
      <c r="V63">
        <v>1113888890</v>
      </c>
      <c r="W63">
        <v>918888890</v>
      </c>
      <c r="X63">
        <v>19618334810</v>
      </c>
      <c r="Y63">
        <v>1113888890</v>
      </c>
    </row>
    <row r="64" spans="2:25">
      <c r="B64">
        <v>91306</v>
      </c>
      <c r="C64">
        <v>52989</v>
      </c>
      <c r="D64">
        <v>143229</v>
      </c>
      <c r="E64">
        <v>92015</v>
      </c>
      <c r="F64">
        <v>88347</v>
      </c>
      <c r="H64">
        <v>37999</v>
      </c>
      <c r="I64">
        <v>27201</v>
      </c>
      <c r="J64">
        <v>73256</v>
      </c>
      <c r="K64">
        <v>44134</v>
      </c>
      <c r="L64">
        <v>199714</v>
      </c>
      <c r="M64">
        <v>55105</v>
      </c>
      <c r="N64">
        <v>1213888890</v>
      </c>
      <c r="O64">
        <v>1038888890</v>
      </c>
      <c r="P64">
        <v>1093888890</v>
      </c>
      <c r="Q64">
        <v>1203888890</v>
      </c>
      <c r="R64">
        <v>1243888890</v>
      </c>
      <c r="T64">
        <v>1038888890</v>
      </c>
      <c r="U64">
        <v>1038888890</v>
      </c>
      <c r="V64">
        <v>1113888890</v>
      </c>
      <c r="W64">
        <v>918888890</v>
      </c>
      <c r="X64">
        <v>19618334810</v>
      </c>
      <c r="Y64">
        <v>1113888890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201734</v>
      </c>
      <c r="C68">
        <v>95743</v>
      </c>
      <c r="D68">
        <v>249361</v>
      </c>
      <c r="E68">
        <v>201613</v>
      </c>
      <c r="F68">
        <v>132887</v>
      </c>
      <c r="H68">
        <v>64083</v>
      </c>
      <c r="I68">
        <v>32896</v>
      </c>
      <c r="J68">
        <v>114084</v>
      </c>
      <c r="L68">
        <v>485170</v>
      </c>
      <c r="M68">
        <v>104234</v>
      </c>
    </row>
    <row r="69" spans="2:13">
      <c r="B69">
        <v>199262</v>
      </c>
      <c r="C69">
        <v>97619</v>
      </c>
      <c r="D69">
        <v>242152</v>
      </c>
      <c r="E69">
        <v>198842</v>
      </c>
      <c r="F69">
        <v>132443</v>
      </c>
      <c r="H69">
        <v>61956</v>
      </c>
      <c r="I69">
        <v>30938</v>
      </c>
      <c r="J69">
        <v>112293</v>
      </c>
      <c r="L69">
        <v>491177</v>
      </c>
      <c r="M69">
        <v>105955</v>
      </c>
    </row>
    <row r="70" spans="2:13">
      <c r="B70">
        <v>201793</v>
      </c>
      <c r="C70">
        <v>94372</v>
      </c>
      <c r="D70">
        <v>247835</v>
      </c>
      <c r="E70">
        <v>200430</v>
      </c>
      <c r="F70">
        <v>132952</v>
      </c>
      <c r="H70">
        <v>64963</v>
      </c>
      <c r="I70">
        <v>31744</v>
      </c>
      <c r="J70">
        <v>111407</v>
      </c>
      <c r="L70">
        <v>471241</v>
      </c>
      <c r="M70">
        <v>103917</v>
      </c>
    </row>
    <row r="71" spans="2:13">
      <c r="B71">
        <v>200717</v>
      </c>
      <c r="C71">
        <v>95297</v>
      </c>
      <c r="D71">
        <v>247370</v>
      </c>
      <c r="E71">
        <v>197410</v>
      </c>
      <c r="F71">
        <v>131120</v>
      </c>
      <c r="H71">
        <v>66680</v>
      </c>
      <c r="I71">
        <v>32382</v>
      </c>
      <c r="J71">
        <v>112275</v>
      </c>
      <c r="L71">
        <v>493533</v>
      </c>
      <c r="M71">
        <v>105108</v>
      </c>
    </row>
    <row r="72" spans="2:13">
      <c r="B72">
        <v>203085</v>
      </c>
      <c r="C72">
        <v>93642</v>
      </c>
      <c r="D72">
        <v>249028</v>
      </c>
      <c r="E72">
        <v>198344</v>
      </c>
      <c r="F72">
        <v>132778</v>
      </c>
      <c r="H72">
        <v>63982</v>
      </c>
      <c r="I72">
        <v>32281</v>
      </c>
      <c r="J72">
        <v>112830</v>
      </c>
      <c r="L72">
        <v>492805</v>
      </c>
      <c r="M72">
        <v>105673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45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AVERAGE(Table62[Newtonsoft])</f>
        <v>246.8</v>
      </c>
      <c r="D38" s="2">
        <f>AVERAGE(Table62[Revenj])</f>
        <v>251.2</v>
      </c>
      <c r="E38" s="2" t="e">
        <f>AVERAGE(Table62[fastJSON])</f>
        <v>#DIV/0!</v>
      </c>
      <c r="F38" s="2">
        <f>AVERAGE(Table62[Service Stack])</f>
        <v>247</v>
      </c>
      <c r="G38" s="2" t="e">
        <f>AVERAGE(Table62[Jil])</f>
        <v>#DIV/0!</v>
      </c>
      <c r="H38" s="2" t="e">
        <f>AVERAGE(Table62[NetJSON])</f>
        <v>#DIV/0!</v>
      </c>
      <c r="I38" s="2">
        <f>AVERAGE(Table62[Jackson])</f>
        <v>69</v>
      </c>
      <c r="J38" s="2">
        <f>AVERAGE(Table62[DSL Platform Java])</f>
        <v>20.2</v>
      </c>
      <c r="K38" s="2">
        <f>AVERAGE(Table62[Genson])</f>
        <v>58.8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71</v>
      </c>
      <c r="O38" s="2"/>
      <c r="P38" s="2"/>
      <c r="Q38" s="2"/>
    </row>
    <row r="39" spans="2:17">
      <c r="B39" t="s">
        <v>0</v>
      </c>
      <c r="C39" s="2">
        <f>AVERAGE(Table61[Newtonsoft]) - C38</f>
        <v>175</v>
      </c>
      <c r="D39" s="2">
        <f>AVERAGE(Table61[Revenj]) - D38</f>
        <v>48.800000000000011</v>
      </c>
      <c r="E39" s="2" t="e">
        <f>AVERAGE(Table61[fastJSON]) - E38</f>
        <v>#DIV/0!</v>
      </c>
      <c r="F39" s="2">
        <f>AVERAGE(Table61[Service Stack]) - F38</f>
        <v>222.8</v>
      </c>
      <c r="G39" s="2" t="e">
        <f>AVERAGE(Table61[Jil]) - G38</f>
        <v>#DIV/0!</v>
      </c>
      <c r="H39" s="2" t="e">
        <f>AVERAGE(Table61[NetJSON]) - H38</f>
        <v>#DIV/0!</v>
      </c>
      <c r="I39" s="2">
        <f>AVERAGE(Table61[Jackson]) - I38</f>
        <v>260</v>
      </c>
      <c r="J39" s="2">
        <f>AVERAGE(Table61[DSL Platform Java]) - J38</f>
        <v>50</v>
      </c>
      <c r="K39" s="2">
        <f>AVERAGE(Table61[Genson]) - K38</f>
        <v>226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253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184.99999999999994</v>
      </c>
      <c r="D40" s="2">
        <f t="shared" si="0"/>
        <v>121.80000000000001</v>
      </c>
      <c r="E40" s="2" t="e">
        <f t="shared" ref="E40" si="1">E41 - E39 - E38</f>
        <v>#DIV/0!</v>
      </c>
      <c r="F40" s="2">
        <f t="shared" si="0"/>
        <v>196.8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345.20000000000005</v>
      </c>
      <c r="J40" s="2">
        <f t="shared" ref="J40" si="3">J41 - J39 - J38</f>
        <v>74.2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300.20000000000005</v>
      </c>
      <c r="O40" s="2"/>
      <c r="P40" s="2"/>
      <c r="Q40" s="2"/>
    </row>
    <row r="41" spans="2:17">
      <c r="B41" t="s">
        <v>25</v>
      </c>
      <c r="C41" s="2">
        <f>AVERAGE(Table63[Newtonsoft])</f>
        <v>606.79999999999995</v>
      </c>
      <c r="D41" s="2">
        <f>AVERAGE(Table63[Revenj])</f>
        <v>421.8</v>
      </c>
      <c r="E41" s="2" t="e">
        <f>AVERAGE(Table63[fastJSON])</f>
        <v>#DIV/0!</v>
      </c>
      <c r="F41" s="2">
        <f>AVERAGE(Table63[Service Stack])</f>
        <v>666.6</v>
      </c>
      <c r="G41" s="2" t="e">
        <f>AVERAGE(Table63[Jil])</f>
        <v>#DIV/0!</v>
      </c>
      <c r="H41" s="2" t="e">
        <f>AVERAGE(Table63[NetJSON])</f>
        <v>#DIV/0!</v>
      </c>
      <c r="I41" s="2">
        <f>AVERAGE(Table63[Jackson])</f>
        <v>674.2</v>
      </c>
      <c r="J41" s="2">
        <f>AVERAGE(Table63[DSL Platform Java])</f>
        <v>144.4</v>
      </c>
      <c r="K41" s="4" t="s">
        <v>54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624.20000000000005</v>
      </c>
      <c r="O41" s="2"/>
      <c r="P41" s="2"/>
      <c r="Q41" s="2"/>
    </row>
    <row r="42" spans="2:17">
      <c r="B42" t="s">
        <v>4</v>
      </c>
      <c r="C42" s="3">
        <f>AVERAGE(Table61[Newtonsoft (size)])</f>
        <v>2220454</v>
      </c>
      <c r="D42" s="3">
        <f>AVERAGE(Table61[Revenj (size)])</f>
        <v>1794584</v>
      </c>
      <c r="E42" s="3" t="e">
        <f>AVERAGE(Table61[fastJSON (size)])</f>
        <v>#DIV/0!</v>
      </c>
      <c r="F42" s="3">
        <f>AVERAGE(Table61[Service Stack (size)])</f>
        <v>1740659</v>
      </c>
      <c r="G42" s="2" t="e">
        <f>AVERAGE(Table61[Jil (size)])</f>
        <v>#DIV/0!</v>
      </c>
      <c r="H42" s="2" t="e">
        <f>AVERAGE(Table61[NetJSON (size)])</f>
        <v>#DIV/0!</v>
      </c>
      <c r="I42" s="2">
        <f>AVERAGE(Table61[Jackson (size)])</f>
        <v>1762584</v>
      </c>
      <c r="J42" s="2">
        <f>AVERAGE(Table61[DSL Platform Java (size)])</f>
        <v>1762584</v>
      </c>
      <c r="K42" s="2">
        <f>AVERAGE(Table61[Genson (size)])</f>
        <v>2079785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DEVSQ(Table61[Newtonsoft])</f>
        <v>6.8000000000000007</v>
      </c>
      <c r="D47" s="2">
        <f>DEVSQ(Table61[Revenj])</f>
        <v>2</v>
      </c>
      <c r="E47" s="2" t="e">
        <f>DEVSQ(Table61[fastJSON])</f>
        <v>#NUM!</v>
      </c>
      <c r="F47" s="2">
        <f>DEVSQ(Table61[Service Stack])</f>
        <v>6.8000000000000007</v>
      </c>
      <c r="G47" s="2" t="e">
        <f>DEVSQ(Table61[Jil])</f>
        <v>#NUM!</v>
      </c>
      <c r="H47" s="2" t="e">
        <f>DEVSQ(Table61[NetJSON])</f>
        <v>#NUM!</v>
      </c>
      <c r="I47" s="2">
        <f>DEVSQ(Table61[Jackson])</f>
        <v>160</v>
      </c>
      <c r="J47" s="2">
        <f>DEVSQ(Table61[DSL Platform Java])</f>
        <v>6.7999999999999989</v>
      </c>
      <c r="K47" s="2">
        <f>DEVSQ(Table61[Genson])</f>
        <v>14.8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88</v>
      </c>
      <c r="O47" s="2"/>
      <c r="P47" s="2"/>
      <c r="Q47" s="2"/>
    </row>
    <row r="48" spans="2:17">
      <c r="B48" t="s">
        <v>25</v>
      </c>
      <c r="C48" s="2">
        <f>DEVSQ(Table63[Newtonsoft])</f>
        <v>14.8</v>
      </c>
      <c r="D48" s="2">
        <f>DEVSQ(Table63[Revenj])</f>
        <v>6.8000000000000007</v>
      </c>
      <c r="E48" s="2" t="e">
        <f>DEVSQ(Table63[fastJSON])</f>
        <v>#NUM!</v>
      </c>
      <c r="F48" s="2">
        <f>DEVSQ(Table63[Service Stack])</f>
        <v>19.2</v>
      </c>
      <c r="G48" s="2" t="e">
        <f>DEVSQ(Table63[Jil])</f>
        <v>#NUM!</v>
      </c>
      <c r="H48" s="2" t="e">
        <f>DEVSQ(Table63[NetJSON])</f>
        <v>#NUM!</v>
      </c>
      <c r="I48" s="2">
        <f>DEVSQ(Table63[Jackson])</f>
        <v>226.8</v>
      </c>
      <c r="J48" s="2">
        <f>DEVSQ(Table63[DSL Platform Java])</f>
        <v>241.2</v>
      </c>
      <c r="K48" s="2">
        <f>DEVSQ(Table63[Genson])</f>
        <v>1646.8000000000002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66.8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246</v>
      </c>
      <c r="C52">
        <v>251</v>
      </c>
      <c r="E52">
        <v>247</v>
      </c>
      <c r="H52">
        <v>69</v>
      </c>
      <c r="I52">
        <v>18</v>
      </c>
      <c r="J52">
        <v>60</v>
      </c>
      <c r="M52">
        <v>72</v>
      </c>
    </row>
    <row r="53" spans="2:25">
      <c r="B53">
        <v>247</v>
      </c>
      <c r="C53">
        <v>251</v>
      </c>
      <c r="E53">
        <v>246</v>
      </c>
      <c r="H53">
        <v>68</v>
      </c>
      <c r="I53">
        <v>22</v>
      </c>
      <c r="J53">
        <v>58</v>
      </c>
      <c r="M53">
        <v>70</v>
      </c>
    </row>
    <row r="54" spans="2:25">
      <c r="B54">
        <v>246</v>
      </c>
      <c r="C54">
        <v>252</v>
      </c>
      <c r="E54">
        <v>248</v>
      </c>
      <c r="H54">
        <v>67</v>
      </c>
      <c r="I54">
        <v>21</v>
      </c>
      <c r="J54">
        <v>59</v>
      </c>
      <c r="M54">
        <v>70</v>
      </c>
    </row>
    <row r="55" spans="2:25">
      <c r="B55">
        <v>248</v>
      </c>
      <c r="C55">
        <v>251</v>
      </c>
      <c r="E55">
        <v>247</v>
      </c>
      <c r="H55">
        <v>68</v>
      </c>
      <c r="I55">
        <v>22</v>
      </c>
      <c r="J55">
        <v>59</v>
      </c>
      <c r="M55">
        <v>73</v>
      </c>
    </row>
    <row r="56" spans="2:25">
      <c r="B56">
        <v>247</v>
      </c>
      <c r="C56">
        <v>251</v>
      </c>
      <c r="E56">
        <v>247</v>
      </c>
      <c r="H56">
        <v>73</v>
      </c>
      <c r="I56">
        <v>18</v>
      </c>
      <c r="J56">
        <v>58</v>
      </c>
      <c r="M56">
        <v>70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421</v>
      </c>
      <c r="C60">
        <v>300</v>
      </c>
      <c r="E60">
        <v>472</v>
      </c>
      <c r="H60">
        <v>331</v>
      </c>
      <c r="I60">
        <v>72</v>
      </c>
      <c r="J60">
        <v>282</v>
      </c>
      <c r="M60">
        <v>317</v>
      </c>
      <c r="N60">
        <v>2204454</v>
      </c>
      <c r="O60">
        <v>1802584</v>
      </c>
      <c r="Q60">
        <v>1740659</v>
      </c>
      <c r="T60">
        <v>1762584</v>
      </c>
      <c r="U60">
        <v>1762584</v>
      </c>
      <c r="V60">
        <v>2079785</v>
      </c>
      <c r="Y60">
        <v>1763995</v>
      </c>
    </row>
    <row r="61" spans="2:25">
      <c r="B61">
        <v>420</v>
      </c>
      <c r="C61">
        <v>299</v>
      </c>
      <c r="E61">
        <v>470</v>
      </c>
      <c r="H61">
        <v>318</v>
      </c>
      <c r="I61">
        <v>71</v>
      </c>
      <c r="J61">
        <v>286</v>
      </c>
      <c r="M61">
        <v>327</v>
      </c>
      <c r="N61">
        <v>2224454</v>
      </c>
      <c r="O61">
        <v>1802584</v>
      </c>
      <c r="Q61">
        <v>1740659</v>
      </c>
      <c r="T61">
        <v>1762584</v>
      </c>
      <c r="U61">
        <v>1762584</v>
      </c>
      <c r="V61">
        <v>2079785</v>
      </c>
      <c r="Y61">
        <v>1763995</v>
      </c>
    </row>
    <row r="62" spans="2:25">
      <c r="B62">
        <v>422</v>
      </c>
      <c r="C62">
        <v>300</v>
      </c>
      <c r="E62">
        <v>469</v>
      </c>
      <c r="H62">
        <v>330</v>
      </c>
      <c r="I62">
        <v>69</v>
      </c>
      <c r="J62">
        <v>284</v>
      </c>
      <c r="M62">
        <v>322</v>
      </c>
      <c r="N62">
        <v>2224454</v>
      </c>
      <c r="O62">
        <v>1762584</v>
      </c>
      <c r="Q62">
        <v>1740659</v>
      </c>
      <c r="T62">
        <v>1762584</v>
      </c>
      <c r="U62">
        <v>1762584</v>
      </c>
      <c r="V62">
        <v>2079785</v>
      </c>
      <c r="Y62">
        <v>1763995</v>
      </c>
    </row>
    <row r="63" spans="2:25">
      <c r="B63">
        <v>423</v>
      </c>
      <c r="C63">
        <v>300</v>
      </c>
      <c r="E63">
        <v>469</v>
      </c>
      <c r="H63">
        <v>332</v>
      </c>
      <c r="I63">
        <v>69</v>
      </c>
      <c r="J63">
        <v>287</v>
      </c>
      <c r="M63">
        <v>329</v>
      </c>
      <c r="N63">
        <v>2224454</v>
      </c>
      <c r="O63">
        <v>1802584</v>
      </c>
      <c r="Q63">
        <v>1740659</v>
      </c>
      <c r="T63">
        <v>1762584</v>
      </c>
      <c r="U63">
        <v>1762584</v>
      </c>
      <c r="V63">
        <v>2079785</v>
      </c>
      <c r="Y63">
        <v>1763995</v>
      </c>
    </row>
    <row r="64" spans="2:25">
      <c r="B64">
        <v>423</v>
      </c>
      <c r="C64">
        <v>301</v>
      </c>
      <c r="E64">
        <v>469</v>
      </c>
      <c r="H64">
        <v>334</v>
      </c>
      <c r="I64">
        <v>70</v>
      </c>
      <c r="J64">
        <v>285</v>
      </c>
      <c r="M64">
        <v>325</v>
      </c>
      <c r="N64">
        <v>2224454</v>
      </c>
      <c r="O64">
        <v>1802584</v>
      </c>
      <c r="Q64">
        <v>1740659</v>
      </c>
      <c r="T64">
        <v>1762584</v>
      </c>
      <c r="U64">
        <v>1762584</v>
      </c>
      <c r="V64">
        <v>2079785</v>
      </c>
      <c r="Y64">
        <v>1763995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607</v>
      </c>
      <c r="C68">
        <v>421</v>
      </c>
      <c r="E68">
        <v>667</v>
      </c>
      <c r="H68">
        <v>673</v>
      </c>
      <c r="I68">
        <v>138</v>
      </c>
      <c r="J68">
        <v>476</v>
      </c>
      <c r="M68">
        <v>624</v>
      </c>
    </row>
    <row r="69" spans="2:13">
      <c r="B69">
        <v>605</v>
      </c>
      <c r="C69">
        <v>421</v>
      </c>
      <c r="E69">
        <v>669</v>
      </c>
      <c r="H69">
        <v>669</v>
      </c>
      <c r="I69">
        <v>144</v>
      </c>
      <c r="J69">
        <v>461</v>
      </c>
      <c r="M69">
        <v>624</v>
      </c>
    </row>
    <row r="70" spans="2:13">
      <c r="B70">
        <v>610</v>
      </c>
      <c r="C70">
        <v>424</v>
      </c>
      <c r="E70">
        <v>667</v>
      </c>
      <c r="H70">
        <v>666</v>
      </c>
      <c r="I70">
        <v>145</v>
      </c>
      <c r="J70">
        <v>471</v>
      </c>
      <c r="M70">
        <v>631</v>
      </c>
    </row>
    <row r="71" spans="2:13">
      <c r="B71">
        <v>606</v>
      </c>
      <c r="C71">
        <v>422</v>
      </c>
      <c r="E71">
        <v>667</v>
      </c>
      <c r="H71">
        <v>678</v>
      </c>
      <c r="I71">
        <v>138</v>
      </c>
      <c r="J71">
        <v>474</v>
      </c>
      <c r="M71">
        <v>621</v>
      </c>
    </row>
    <row r="72" spans="2:13">
      <c r="B72">
        <v>606</v>
      </c>
      <c r="C72">
        <v>421</v>
      </c>
      <c r="E72">
        <v>663</v>
      </c>
      <c r="H72">
        <v>685</v>
      </c>
      <c r="I72">
        <v>157</v>
      </c>
      <c r="J72">
        <v>514</v>
      </c>
      <c r="M72">
        <v>621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46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AVERAGE(Table67[Newtonsoft])</f>
        <v>364</v>
      </c>
      <c r="D38" s="2">
        <f>AVERAGE(Table67[Revenj])</f>
        <v>375.2</v>
      </c>
      <c r="E38" s="2" t="e">
        <f>AVERAGE(Table67[fastJSON])</f>
        <v>#DIV/0!</v>
      </c>
      <c r="F38" s="2">
        <f>AVERAGE(Table67[Service Stack])</f>
        <v>364.4</v>
      </c>
      <c r="G38" s="2" t="e">
        <f>AVERAGE(Table67[Jil])</f>
        <v>#DIV/0!</v>
      </c>
      <c r="H38" s="2" t="e">
        <f>AVERAGE(Table67[NetJSON])</f>
        <v>#DIV/0!</v>
      </c>
      <c r="I38" s="2">
        <f>AVERAGE(Table67[Jackson])</f>
        <v>106.2</v>
      </c>
      <c r="J38" s="2">
        <f>AVERAGE(Table67[DSL Platform Java])</f>
        <v>56.4</v>
      </c>
      <c r="K38" s="2">
        <f>AVERAGE(Table67[Genson])</f>
        <v>95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112.4</v>
      </c>
      <c r="O38" s="2"/>
      <c r="P38" s="2"/>
      <c r="Q38" s="2"/>
    </row>
    <row r="39" spans="2:17">
      <c r="B39" t="s">
        <v>0</v>
      </c>
      <c r="C39" s="2">
        <f>AVERAGE(Table66[Newtonsoft]) - C38</f>
        <v>1046.2</v>
      </c>
      <c r="D39" s="2">
        <f>AVERAGE(Table66[Revenj]) - D38</f>
        <v>425.00000000000006</v>
      </c>
      <c r="E39" s="2" t="e">
        <f>AVERAGE(Table66[fastJSON]) - E38</f>
        <v>#DIV/0!</v>
      </c>
      <c r="F39" s="2">
        <f>AVERAGE(Table66[Service Stack]) - F38</f>
        <v>1087.8000000000002</v>
      </c>
      <c r="G39" s="2" t="e">
        <f>AVERAGE(Table66[Jil]) - G38</f>
        <v>#DIV/0!</v>
      </c>
      <c r="H39" s="2" t="e">
        <f>AVERAGE(Table66[NetJSON]) - H38</f>
        <v>#DIV/0!</v>
      </c>
      <c r="I39" s="2">
        <f>AVERAGE(Table66[Jackson]) - I38</f>
        <v>601</v>
      </c>
      <c r="J39" s="2">
        <f>AVERAGE(Table66[DSL Platform Java]) - J38</f>
        <v>149.4</v>
      </c>
      <c r="K39" s="2">
        <f>AVERAGE(Table66[Genson]) - K38</f>
        <v>875.4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886.6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1674.2</v>
      </c>
      <c r="D40" s="2">
        <f t="shared" si="0"/>
        <v>1097.2</v>
      </c>
      <c r="E40" s="2" t="e">
        <f t="shared" ref="E40" si="1">E41 - E39 - E38</f>
        <v>#DIV/0!</v>
      </c>
      <c r="F40" s="2">
        <f t="shared" si="0"/>
        <v>1727.1999999999998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935.59999999999991</v>
      </c>
      <c r="J40" s="2">
        <f t="shared" ref="J40" si="3">J41 - J39 - J38</f>
        <v>332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1133.8000000000002</v>
      </c>
      <c r="O40" s="2"/>
      <c r="P40" s="2"/>
      <c r="Q40" s="2"/>
    </row>
    <row r="41" spans="2:17">
      <c r="B41" t="s">
        <v>25</v>
      </c>
      <c r="C41" s="2">
        <f>AVERAGE(Table68[Newtonsoft])</f>
        <v>3084.4</v>
      </c>
      <c r="D41" s="2">
        <f>AVERAGE(Table68[Revenj])</f>
        <v>1897.4</v>
      </c>
      <c r="E41" s="2" t="e">
        <f>AVERAGE(Table68[fastJSON])</f>
        <v>#DIV/0!</v>
      </c>
      <c r="F41" s="2">
        <f>AVERAGE(Table68[Service Stack])</f>
        <v>3179.4</v>
      </c>
      <c r="G41" s="2" t="e">
        <f>AVERAGE(Table68[Jil])</f>
        <v>#DIV/0!</v>
      </c>
      <c r="H41" s="2" t="e">
        <f>AVERAGE(Table68[NetJSON])</f>
        <v>#DIV/0!</v>
      </c>
      <c r="I41" s="2">
        <f>AVERAGE(Table68[Jackson])</f>
        <v>1642.8</v>
      </c>
      <c r="J41" s="2">
        <f>AVERAGE(Table68[DSL Platform Java])</f>
        <v>537.79999999999995</v>
      </c>
      <c r="K41" s="4" t="s">
        <v>54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2132.8000000000002</v>
      </c>
      <c r="O41" s="2"/>
      <c r="P41" s="2"/>
      <c r="Q41" s="2"/>
    </row>
    <row r="42" spans="2:17">
      <c r="B42" t="s">
        <v>4</v>
      </c>
      <c r="C42" s="3">
        <f>AVERAGE(Table66[Newtonsoft (size)])</f>
        <v>23146001</v>
      </c>
      <c r="D42" s="3">
        <f>AVERAGE(Table66[Revenj (size)])</f>
        <v>18859843</v>
      </c>
      <c r="E42" s="3" t="e">
        <f>AVERAGE(Table66[fastJSON (size)])</f>
        <v>#DIV/0!</v>
      </c>
      <c r="F42" s="3">
        <f>AVERAGE(Table66[Service Stack (size)])</f>
        <v>18307918</v>
      </c>
      <c r="G42" s="2" t="e">
        <f>AVERAGE(Table66[Jil (size)])</f>
        <v>#DIV/0!</v>
      </c>
      <c r="H42" s="2" t="e">
        <f>AVERAGE(Table66[NetJSON (size)])</f>
        <v>#DIV/0!</v>
      </c>
      <c r="I42" s="2">
        <f>AVERAGE(Table66[Jackson (size)])</f>
        <v>18539843</v>
      </c>
      <c r="J42" s="2">
        <f>AVERAGE(Table66[DSL Platform Java (size)])</f>
        <v>18539843</v>
      </c>
      <c r="K42" s="2">
        <f>AVERAGE(Table66[Genson (size)])</f>
        <v>21699332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DEVSQ(Table66[Newtonsoft])</f>
        <v>1086.8</v>
      </c>
      <c r="D47" s="2">
        <f>DEVSQ(Table66[Revenj])</f>
        <v>204.8</v>
      </c>
      <c r="E47" s="2" t="e">
        <f>DEVSQ(Table66[fastJSON])</f>
        <v>#NUM!</v>
      </c>
      <c r="F47" s="2">
        <f>DEVSQ(Table66[Service Stack])</f>
        <v>626.79999999999995</v>
      </c>
      <c r="G47" s="2" t="e">
        <f>DEVSQ(Table66[Jil])</f>
        <v>#NUM!</v>
      </c>
      <c r="H47" s="2" t="e">
        <f>DEVSQ(Table66[NetJSON])</f>
        <v>#NUM!</v>
      </c>
      <c r="I47" s="2">
        <f>DEVSQ(Table66[Jackson])</f>
        <v>8334.7999999999993</v>
      </c>
      <c r="J47" s="2">
        <f>DEVSQ(Table66[DSL Platform Java])</f>
        <v>374.79999999999995</v>
      </c>
      <c r="K47" s="2">
        <f>DEVSQ(Table66[Genson])</f>
        <v>681.19999999999993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6426</v>
      </c>
      <c r="O47" s="2"/>
      <c r="P47" s="2"/>
      <c r="Q47" s="2"/>
    </row>
    <row r="48" spans="2:17">
      <c r="B48" t="s">
        <v>25</v>
      </c>
      <c r="C48" s="2">
        <f>DEVSQ(Table68[Newtonsoft])</f>
        <v>463.20000000000005</v>
      </c>
      <c r="D48" s="2">
        <f>DEVSQ(Table68[Revenj])</f>
        <v>309.2</v>
      </c>
      <c r="E48" s="2" t="e">
        <f>DEVSQ(Table68[fastJSON])</f>
        <v>#NUM!</v>
      </c>
      <c r="F48" s="2">
        <f>DEVSQ(Table68[Service Stack])</f>
        <v>2053.1999999999998</v>
      </c>
      <c r="G48" s="2" t="e">
        <f>DEVSQ(Table68[Jil])</f>
        <v>#NUM!</v>
      </c>
      <c r="H48" s="2" t="e">
        <f>DEVSQ(Table68[NetJSON])</f>
        <v>#NUM!</v>
      </c>
      <c r="I48" s="2">
        <f>DEVSQ(Table68[Jackson])</f>
        <v>15530.8</v>
      </c>
      <c r="J48" s="2">
        <f>DEVSQ(Table68[DSL Platform Java])</f>
        <v>484.8</v>
      </c>
      <c r="K48" s="2">
        <f>DEVSQ(Table68[Genson])</f>
        <v>3139.2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6986.8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367</v>
      </c>
      <c r="C52">
        <v>368</v>
      </c>
      <c r="E52">
        <v>367</v>
      </c>
      <c r="H52">
        <v>113</v>
      </c>
      <c r="I52">
        <v>58</v>
      </c>
      <c r="J52">
        <v>94</v>
      </c>
      <c r="M52">
        <v>111</v>
      </c>
    </row>
    <row r="53" spans="2:25">
      <c r="B53">
        <v>370</v>
      </c>
      <c r="C53">
        <v>377</v>
      </c>
      <c r="E53">
        <v>372</v>
      </c>
      <c r="H53">
        <v>104</v>
      </c>
      <c r="I53">
        <v>55</v>
      </c>
      <c r="J53">
        <v>101</v>
      </c>
      <c r="M53">
        <v>110</v>
      </c>
    </row>
    <row r="54" spans="2:25">
      <c r="B54">
        <v>360</v>
      </c>
      <c r="C54">
        <v>376</v>
      </c>
      <c r="E54">
        <v>361</v>
      </c>
      <c r="H54">
        <v>104</v>
      </c>
      <c r="I54">
        <v>57</v>
      </c>
      <c r="J54">
        <v>93</v>
      </c>
      <c r="M54">
        <v>107</v>
      </c>
    </row>
    <row r="55" spans="2:25">
      <c r="B55">
        <v>359</v>
      </c>
      <c r="C55">
        <v>375</v>
      </c>
      <c r="E55">
        <v>363</v>
      </c>
      <c r="H55">
        <v>106</v>
      </c>
      <c r="I55">
        <v>57</v>
      </c>
      <c r="J55">
        <v>93</v>
      </c>
      <c r="M55">
        <v>115</v>
      </c>
    </row>
    <row r="56" spans="2:25">
      <c r="B56">
        <v>364</v>
      </c>
      <c r="C56">
        <v>380</v>
      </c>
      <c r="E56">
        <v>359</v>
      </c>
      <c r="H56">
        <v>104</v>
      </c>
      <c r="I56">
        <v>55</v>
      </c>
      <c r="J56">
        <v>94</v>
      </c>
      <c r="M56">
        <v>119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1391</v>
      </c>
      <c r="C60">
        <v>812</v>
      </c>
      <c r="E60">
        <v>1431</v>
      </c>
      <c r="H60">
        <v>657</v>
      </c>
      <c r="I60">
        <v>211</v>
      </c>
      <c r="J60">
        <v>960</v>
      </c>
      <c r="M60">
        <v>1003</v>
      </c>
      <c r="N60">
        <v>23146001</v>
      </c>
      <c r="O60">
        <v>18739843</v>
      </c>
      <c r="Q60">
        <v>18307918</v>
      </c>
      <c r="T60">
        <v>18539843</v>
      </c>
      <c r="U60">
        <v>18539843</v>
      </c>
      <c r="V60">
        <v>21699332</v>
      </c>
      <c r="Y60">
        <v>18541254</v>
      </c>
    </row>
    <row r="61" spans="2:25">
      <c r="B61">
        <v>1412</v>
      </c>
      <c r="C61">
        <v>800</v>
      </c>
      <c r="E61">
        <v>1458</v>
      </c>
      <c r="H61">
        <v>755</v>
      </c>
      <c r="I61">
        <v>197</v>
      </c>
      <c r="J61">
        <v>968</v>
      </c>
      <c r="M61">
        <v>957</v>
      </c>
      <c r="N61">
        <v>23146001</v>
      </c>
      <c r="O61">
        <v>18939843</v>
      </c>
      <c r="Q61">
        <v>18307918</v>
      </c>
      <c r="T61">
        <v>18539843</v>
      </c>
      <c r="U61">
        <v>18539843</v>
      </c>
      <c r="V61">
        <v>21699332</v>
      </c>
      <c r="Y61">
        <v>18541254</v>
      </c>
    </row>
    <row r="62" spans="2:25">
      <c r="B62">
        <v>1415</v>
      </c>
      <c r="C62">
        <v>794</v>
      </c>
      <c r="E62">
        <v>1451</v>
      </c>
      <c r="H62">
        <v>678</v>
      </c>
      <c r="I62">
        <v>208</v>
      </c>
      <c r="J62">
        <v>974</v>
      </c>
      <c r="M62">
        <v>1000</v>
      </c>
      <c r="N62">
        <v>23146001</v>
      </c>
      <c r="O62">
        <v>18939843</v>
      </c>
      <c r="Q62">
        <v>18307918</v>
      </c>
      <c r="T62">
        <v>18539843</v>
      </c>
      <c r="U62">
        <v>18539843</v>
      </c>
      <c r="V62">
        <v>21699332</v>
      </c>
      <c r="Y62">
        <v>18541254</v>
      </c>
    </row>
    <row r="63" spans="2:25">
      <c r="B63">
        <v>1399</v>
      </c>
      <c r="C63">
        <v>795</v>
      </c>
      <c r="E63">
        <v>1459</v>
      </c>
      <c r="H63">
        <v>690</v>
      </c>
      <c r="I63">
        <v>195</v>
      </c>
      <c r="J63">
        <v>991</v>
      </c>
      <c r="M63">
        <v>973</v>
      </c>
      <c r="N63">
        <v>23146001</v>
      </c>
      <c r="O63">
        <v>18939843</v>
      </c>
      <c r="Q63">
        <v>18307918</v>
      </c>
      <c r="T63">
        <v>18539843</v>
      </c>
      <c r="U63">
        <v>18539843</v>
      </c>
      <c r="V63">
        <v>21699332</v>
      </c>
      <c r="Y63">
        <v>18541254</v>
      </c>
    </row>
    <row r="64" spans="2:25">
      <c r="B64">
        <v>1434</v>
      </c>
      <c r="C64">
        <v>800</v>
      </c>
      <c r="E64">
        <v>1462</v>
      </c>
      <c r="H64">
        <v>756</v>
      </c>
      <c r="I64">
        <v>218</v>
      </c>
      <c r="J64">
        <v>959</v>
      </c>
      <c r="M64">
        <v>1062</v>
      </c>
      <c r="N64">
        <v>23146001</v>
      </c>
      <c r="O64">
        <v>18739843</v>
      </c>
      <c r="Q64">
        <v>18307918</v>
      </c>
      <c r="T64">
        <v>18539843</v>
      </c>
      <c r="U64">
        <v>18539843</v>
      </c>
      <c r="V64">
        <v>21699332</v>
      </c>
      <c r="Y64">
        <v>18541254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3073</v>
      </c>
      <c r="C68">
        <v>1901</v>
      </c>
      <c r="E68">
        <v>3157</v>
      </c>
      <c r="H68">
        <v>1713</v>
      </c>
      <c r="I68">
        <v>536</v>
      </c>
      <c r="J68">
        <v>1928</v>
      </c>
      <c r="M68">
        <v>2115</v>
      </c>
    </row>
    <row r="69" spans="2:13">
      <c r="B69">
        <v>3099</v>
      </c>
      <c r="C69">
        <v>1889</v>
      </c>
      <c r="E69">
        <v>3189</v>
      </c>
      <c r="H69">
        <v>1600</v>
      </c>
      <c r="I69">
        <v>536</v>
      </c>
      <c r="J69">
        <v>1912</v>
      </c>
      <c r="M69">
        <v>2115</v>
      </c>
    </row>
    <row r="70" spans="2:13">
      <c r="B70">
        <v>3090</v>
      </c>
      <c r="C70">
        <v>1906</v>
      </c>
      <c r="E70">
        <v>3184</v>
      </c>
      <c r="H70">
        <v>1598</v>
      </c>
      <c r="I70">
        <v>552</v>
      </c>
      <c r="J70">
        <v>1864</v>
      </c>
      <c r="M70">
        <v>2102</v>
      </c>
    </row>
    <row r="71" spans="2:13">
      <c r="B71">
        <v>3075</v>
      </c>
      <c r="C71">
        <v>1887</v>
      </c>
      <c r="E71">
        <v>3157</v>
      </c>
      <c r="H71">
        <v>1709</v>
      </c>
      <c r="I71">
        <v>543</v>
      </c>
      <c r="J71">
        <v>1886</v>
      </c>
      <c r="M71">
        <v>2206</v>
      </c>
    </row>
    <row r="72" spans="2:13">
      <c r="B72">
        <v>3085</v>
      </c>
      <c r="C72">
        <v>1904</v>
      </c>
      <c r="E72">
        <v>3210</v>
      </c>
      <c r="H72">
        <v>1594</v>
      </c>
      <c r="I72">
        <v>522</v>
      </c>
      <c r="J72">
        <v>1867</v>
      </c>
      <c r="M72">
        <v>2126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47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AVERAGE(Table72[Newtonsoft])</f>
        <v>1539.8</v>
      </c>
      <c r="D38" s="2">
        <f>AVERAGE(Table72[Revenj])</f>
        <v>1561.2</v>
      </c>
      <c r="E38" s="2" t="e">
        <f>AVERAGE(Table72[fastJSON])</f>
        <v>#DIV/0!</v>
      </c>
      <c r="F38" s="2">
        <f>AVERAGE(Table72[Service Stack])</f>
        <v>1554.4</v>
      </c>
      <c r="G38" s="2" t="e">
        <f>AVERAGE(Table72[Jil])</f>
        <v>#DIV/0!</v>
      </c>
      <c r="H38" s="2" t="e">
        <f>AVERAGE(Table72[NetJSON])</f>
        <v>#DIV/0!</v>
      </c>
      <c r="I38" s="2">
        <f>AVERAGE(Table72[Jackson])</f>
        <v>247</v>
      </c>
      <c r="J38" s="2">
        <f>AVERAGE(Table72[DSL Platform Java])</f>
        <v>198</v>
      </c>
      <c r="K38" s="2">
        <f>AVERAGE(Table72[Genson])</f>
        <v>242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253.4</v>
      </c>
      <c r="O38" s="2"/>
      <c r="P38" s="2"/>
      <c r="Q38" s="2"/>
    </row>
    <row r="39" spans="2:17">
      <c r="B39" t="s">
        <v>0</v>
      </c>
      <c r="C39" s="2">
        <f>AVERAGE(Table71[Newtonsoft]) - C38</f>
        <v>10012</v>
      </c>
      <c r="D39" s="2">
        <f>AVERAGE(Table71[Revenj]) - D38</f>
        <v>4314.4000000000005</v>
      </c>
      <c r="E39" s="2" t="e">
        <f>AVERAGE(Table71[fastJSON]) - E38</f>
        <v>#DIV/0!</v>
      </c>
      <c r="F39" s="2">
        <f>AVERAGE(Table71[Service Stack]) - F38</f>
        <v>9812</v>
      </c>
      <c r="G39" s="2" t="e">
        <f>AVERAGE(Table71[Jil]) - G38</f>
        <v>#DIV/0!</v>
      </c>
      <c r="H39" s="2" t="e">
        <f>AVERAGE(Table71[NetJSON]) - H38</f>
        <v>#DIV/0!</v>
      </c>
      <c r="I39" s="2">
        <f>AVERAGE(Table71[Jackson]) - I38</f>
        <v>2513.6</v>
      </c>
      <c r="J39" s="2">
        <f>AVERAGE(Table71[DSL Platform Java]) - J38</f>
        <v>868.40000000000009</v>
      </c>
      <c r="K39" s="2">
        <f>AVERAGE(Table71[Genson]) - K38</f>
        <v>6470.4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6057.6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16452.2</v>
      </c>
      <c r="D40" s="2">
        <f t="shared" si="0"/>
        <v>10938.8</v>
      </c>
      <c r="E40" s="2" t="e">
        <f t="shared" ref="E40" si="1">E41 - E39 - E38</f>
        <v>#DIV/0!</v>
      </c>
      <c r="F40" s="2">
        <f t="shared" si="0"/>
        <v>17423.199999999997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6075.7999999999993</v>
      </c>
      <c r="J40" s="2">
        <f t="shared" ref="J40" si="3">J41 - J39 - J38</f>
        <v>1371.4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8293</v>
      </c>
      <c r="O40" s="2"/>
      <c r="P40" s="2"/>
      <c r="Q40" s="2"/>
    </row>
    <row r="41" spans="2:17">
      <c r="B41" t="s">
        <v>25</v>
      </c>
      <c r="C41" s="2">
        <f>AVERAGE(Table73[Newtonsoft])</f>
        <v>28004</v>
      </c>
      <c r="D41" s="2">
        <f>AVERAGE(Table73[Revenj])</f>
        <v>16814.400000000001</v>
      </c>
      <c r="E41" s="2" t="e">
        <f>AVERAGE(Table73[fastJSON])</f>
        <v>#DIV/0!</v>
      </c>
      <c r="F41" s="2">
        <f>AVERAGE(Table73[Service Stack])</f>
        <v>28789.599999999999</v>
      </c>
      <c r="G41" s="2" t="e">
        <f>AVERAGE(Table73[Jil])</f>
        <v>#DIV/0!</v>
      </c>
      <c r="H41" s="2" t="e">
        <f>AVERAGE(Table73[NetJSON])</f>
        <v>#DIV/0!</v>
      </c>
      <c r="I41" s="2">
        <f>AVERAGE(Table73[Jackson])</f>
        <v>8836.4</v>
      </c>
      <c r="J41" s="2">
        <f>AVERAGE(Table73[DSL Platform Java])</f>
        <v>2437.8000000000002</v>
      </c>
      <c r="K41" s="4" t="s">
        <v>54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14604</v>
      </c>
      <c r="O41" s="2"/>
      <c r="P41" s="2"/>
      <c r="Q41" s="2"/>
    </row>
    <row r="42" spans="2:17">
      <c r="B42" t="s">
        <v>4</v>
      </c>
      <c r="C42" s="3">
        <f>AVERAGE(Table71[Newtonsoft (size)])</f>
        <v>240523562</v>
      </c>
      <c r="D42" s="3">
        <f>AVERAGE(Table71[Revenj (size)])</f>
        <v>198074556</v>
      </c>
      <c r="E42" s="3" t="e">
        <f>AVERAGE(Table71[fastJSON (size)])</f>
        <v>#DIV/0!</v>
      </c>
      <c r="F42" s="3">
        <f>AVERAGE(Table71[Service Stack (size)])</f>
        <v>192142631</v>
      </c>
      <c r="G42" s="2" t="e">
        <f>AVERAGE(Table71[Jil (size)])</f>
        <v>#DIV/0!</v>
      </c>
      <c r="H42" s="2" t="e">
        <f>AVERAGE(Table71[NetJSON (size)])</f>
        <v>#DIV/0!</v>
      </c>
      <c r="I42" s="2">
        <f>AVERAGE(Table71[Jackson (size)])</f>
        <v>194474556</v>
      </c>
      <c r="J42" s="2">
        <f>AVERAGE(Table71[DSL Platform Java (size)])</f>
        <v>194474556</v>
      </c>
      <c r="K42" s="2">
        <f>AVERAGE(Table71[Genson (size)])</f>
        <v>226056893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DEVSQ(Table71[Newtonsoft])</f>
        <v>21766.799999999999</v>
      </c>
      <c r="D47" s="2">
        <f>DEVSQ(Table71[Revenj])</f>
        <v>45821.2</v>
      </c>
      <c r="E47" s="2" t="e">
        <f>DEVSQ(Table71[fastJSON])</f>
        <v>#NUM!</v>
      </c>
      <c r="F47" s="2">
        <f>DEVSQ(Table71[Service Stack])</f>
        <v>56857.2</v>
      </c>
      <c r="G47" s="2" t="e">
        <f>DEVSQ(Table71[Jil])</f>
        <v>#NUM!</v>
      </c>
      <c r="H47" s="2" t="e">
        <f>DEVSQ(Table71[NetJSON])</f>
        <v>#NUM!</v>
      </c>
      <c r="I47" s="2">
        <f>DEVSQ(Table71[Jackson])</f>
        <v>10273.200000000001</v>
      </c>
      <c r="J47" s="2">
        <f>DEVSQ(Table71[DSL Platform Java])</f>
        <v>285.20000000000005</v>
      </c>
      <c r="K47" s="2">
        <f>DEVSQ(Table71[Genson])</f>
        <v>156353.19999999998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72254</v>
      </c>
      <c r="O47" s="2"/>
      <c r="P47" s="2"/>
      <c r="Q47" s="2"/>
    </row>
    <row r="48" spans="2:17">
      <c r="B48" t="s">
        <v>25</v>
      </c>
      <c r="C48" s="2">
        <f>DEVSQ(Table73[Newtonsoft])</f>
        <v>81088</v>
      </c>
      <c r="D48" s="2">
        <f>DEVSQ(Table73[Revenj])</f>
        <v>73631.199999999997</v>
      </c>
      <c r="E48" s="2" t="e">
        <f>DEVSQ(Table73[fastJSON])</f>
        <v>#NUM!</v>
      </c>
      <c r="F48" s="2">
        <f>DEVSQ(Table73[Service Stack])</f>
        <v>300365.2</v>
      </c>
      <c r="G48" s="2" t="e">
        <f>DEVSQ(Table73[Jil])</f>
        <v>#NUM!</v>
      </c>
      <c r="H48" s="2" t="e">
        <f>DEVSQ(Table73[NetJSON])</f>
        <v>#NUM!</v>
      </c>
      <c r="I48" s="2">
        <f>DEVSQ(Table73[Jackson])</f>
        <v>316409.19999999995</v>
      </c>
      <c r="J48" s="2">
        <f>DEVSQ(Table73[DSL Platform Java])</f>
        <v>32194.799999999996</v>
      </c>
      <c r="K48" s="2">
        <f>DEVSQ(Table73[Genson])</f>
        <v>454070.8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161620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1530</v>
      </c>
      <c r="C52">
        <v>1508</v>
      </c>
      <c r="E52">
        <v>1552</v>
      </c>
      <c r="H52">
        <v>247</v>
      </c>
      <c r="I52">
        <v>203</v>
      </c>
      <c r="J52">
        <v>243</v>
      </c>
      <c r="M52">
        <v>246</v>
      </c>
    </row>
    <row r="53" spans="2:25">
      <c r="B53">
        <v>1572</v>
      </c>
      <c r="C53">
        <v>1600</v>
      </c>
      <c r="E53">
        <v>1530</v>
      </c>
      <c r="H53">
        <v>247</v>
      </c>
      <c r="I53">
        <v>194</v>
      </c>
      <c r="J53">
        <v>243</v>
      </c>
      <c r="M53">
        <v>254</v>
      </c>
    </row>
    <row r="54" spans="2:25">
      <c r="B54">
        <v>1547</v>
      </c>
      <c r="C54">
        <v>1570</v>
      </c>
      <c r="E54">
        <v>1588</v>
      </c>
      <c r="H54">
        <v>249</v>
      </c>
      <c r="I54">
        <v>195</v>
      </c>
      <c r="J54">
        <v>239</v>
      </c>
      <c r="M54">
        <v>259</v>
      </c>
    </row>
    <row r="55" spans="2:25">
      <c r="B55">
        <v>1534</v>
      </c>
      <c r="C55">
        <v>1603</v>
      </c>
      <c r="E55">
        <v>1542</v>
      </c>
      <c r="H55">
        <v>246</v>
      </c>
      <c r="I55">
        <v>200</v>
      </c>
      <c r="J55">
        <v>243</v>
      </c>
      <c r="M55">
        <v>252</v>
      </c>
    </row>
    <row r="56" spans="2:25">
      <c r="B56">
        <v>1516</v>
      </c>
      <c r="C56">
        <v>1525</v>
      </c>
      <c r="E56">
        <v>1560</v>
      </c>
      <c r="H56">
        <v>246</v>
      </c>
      <c r="I56">
        <v>198</v>
      </c>
      <c r="J56">
        <v>242</v>
      </c>
      <c r="M56">
        <v>256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11515</v>
      </c>
      <c r="C60">
        <v>5838</v>
      </c>
      <c r="E60">
        <v>11329</v>
      </c>
      <c r="H60">
        <v>2745</v>
      </c>
      <c r="I60">
        <v>1064</v>
      </c>
      <c r="J60">
        <v>7000</v>
      </c>
      <c r="M60">
        <v>6131</v>
      </c>
      <c r="N60">
        <v>240523562</v>
      </c>
      <c r="O60">
        <v>196474556</v>
      </c>
      <c r="Q60">
        <v>192142631</v>
      </c>
      <c r="T60">
        <v>194474556</v>
      </c>
      <c r="U60">
        <v>194474556</v>
      </c>
      <c r="V60">
        <v>226056893</v>
      </c>
      <c r="Y60">
        <v>194475967</v>
      </c>
    </row>
    <row r="61" spans="2:25">
      <c r="B61">
        <v>11596</v>
      </c>
      <c r="C61">
        <v>5790</v>
      </c>
      <c r="E61">
        <v>11334</v>
      </c>
      <c r="H61">
        <v>2850</v>
      </c>
      <c r="I61">
        <v>1059</v>
      </c>
      <c r="J61">
        <v>6775</v>
      </c>
      <c r="M61">
        <v>6486</v>
      </c>
      <c r="N61">
        <v>240523562</v>
      </c>
      <c r="O61">
        <v>198474556</v>
      </c>
      <c r="Q61">
        <v>192142631</v>
      </c>
      <c r="T61">
        <v>194474556</v>
      </c>
      <c r="U61">
        <v>194474556</v>
      </c>
      <c r="V61">
        <v>226056893</v>
      </c>
      <c r="Y61">
        <v>194475967</v>
      </c>
    </row>
    <row r="62" spans="2:25">
      <c r="B62">
        <v>11445</v>
      </c>
      <c r="C62">
        <v>5831</v>
      </c>
      <c r="E62">
        <v>11521</v>
      </c>
      <c r="H62">
        <v>2747</v>
      </c>
      <c r="I62">
        <v>1064</v>
      </c>
      <c r="J62">
        <v>6582</v>
      </c>
      <c r="M62">
        <v>6389</v>
      </c>
      <c r="N62">
        <v>240523562</v>
      </c>
      <c r="O62">
        <v>198474556</v>
      </c>
      <c r="Q62">
        <v>192142631</v>
      </c>
      <c r="T62">
        <v>194474556</v>
      </c>
      <c r="U62">
        <v>194474556</v>
      </c>
      <c r="V62">
        <v>226056893</v>
      </c>
      <c r="Y62">
        <v>194475967</v>
      </c>
    </row>
    <row r="63" spans="2:25">
      <c r="B63">
        <v>11634</v>
      </c>
      <c r="C63">
        <v>5857</v>
      </c>
      <c r="E63">
        <v>11440</v>
      </c>
      <c r="H63">
        <v>2726</v>
      </c>
      <c r="I63">
        <v>1081</v>
      </c>
      <c r="J63">
        <v>6483</v>
      </c>
      <c r="M63">
        <v>6290</v>
      </c>
      <c r="N63">
        <v>240523562</v>
      </c>
      <c r="O63">
        <v>198474556</v>
      </c>
      <c r="Q63">
        <v>192142631</v>
      </c>
      <c r="T63">
        <v>194474556</v>
      </c>
      <c r="U63">
        <v>194474556</v>
      </c>
      <c r="V63">
        <v>226056893</v>
      </c>
      <c r="Y63">
        <v>194475967</v>
      </c>
    </row>
    <row r="64" spans="2:25">
      <c r="B64">
        <v>11569</v>
      </c>
      <c r="C64">
        <v>6062</v>
      </c>
      <c r="E64">
        <v>11208</v>
      </c>
      <c r="H64">
        <v>2735</v>
      </c>
      <c r="I64">
        <v>1064</v>
      </c>
      <c r="J64">
        <v>6722</v>
      </c>
      <c r="M64">
        <v>6259</v>
      </c>
      <c r="N64">
        <v>240523562</v>
      </c>
      <c r="O64">
        <v>198474556</v>
      </c>
      <c r="Q64">
        <v>192142631</v>
      </c>
      <c r="T64">
        <v>194474556</v>
      </c>
      <c r="U64">
        <v>194474556</v>
      </c>
      <c r="V64">
        <v>226056893</v>
      </c>
      <c r="Y64">
        <v>194475967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28167</v>
      </c>
      <c r="C68">
        <v>16949</v>
      </c>
      <c r="E68">
        <v>29179</v>
      </c>
      <c r="H68">
        <v>9096</v>
      </c>
      <c r="I68">
        <v>2508</v>
      </c>
      <c r="J68">
        <v>12648</v>
      </c>
      <c r="M68">
        <v>14887</v>
      </c>
    </row>
    <row r="69" spans="2:13">
      <c r="B69">
        <v>27997</v>
      </c>
      <c r="C69">
        <v>16651</v>
      </c>
      <c r="E69">
        <v>28980</v>
      </c>
      <c r="H69">
        <v>9028</v>
      </c>
      <c r="I69">
        <v>2531</v>
      </c>
      <c r="J69">
        <v>12910</v>
      </c>
      <c r="M69">
        <v>14719</v>
      </c>
    </row>
    <row r="70" spans="2:13">
      <c r="B70">
        <v>28054</v>
      </c>
      <c r="C70">
        <v>16959</v>
      </c>
      <c r="E70">
        <v>28598</v>
      </c>
      <c r="H70">
        <v>8980</v>
      </c>
      <c r="I70">
        <v>2312</v>
      </c>
      <c r="J70">
        <v>13207</v>
      </c>
      <c r="M70">
        <v>14561</v>
      </c>
    </row>
    <row r="71" spans="2:13">
      <c r="B71">
        <v>27777</v>
      </c>
      <c r="C71">
        <v>16732</v>
      </c>
      <c r="E71">
        <v>28610</v>
      </c>
      <c r="H71">
        <v>8625</v>
      </c>
      <c r="I71">
        <v>2451</v>
      </c>
      <c r="J71">
        <v>13377</v>
      </c>
      <c r="M71">
        <v>14468</v>
      </c>
    </row>
    <row r="72" spans="2:13">
      <c r="B72">
        <v>28025</v>
      </c>
      <c r="C72">
        <v>16781</v>
      </c>
      <c r="E72">
        <v>28581</v>
      </c>
      <c r="H72">
        <v>8453</v>
      </c>
      <c r="I72">
        <v>2387</v>
      </c>
      <c r="J72">
        <v>12614</v>
      </c>
      <c r="M72">
        <v>14385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48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AVERAGE(Table77[Newtonsoft])</f>
        <v>1352.2</v>
      </c>
      <c r="D38" s="2">
        <f>AVERAGE(Table77[Revenj])</f>
        <v>1359.6</v>
      </c>
      <c r="E38" s="2" t="e">
        <f>AVERAGE(Table77[fastJSON])</f>
        <v>#DIV/0!</v>
      </c>
      <c r="F38" s="2">
        <f>AVERAGE(Table77[Service Stack])</f>
        <v>1354.4</v>
      </c>
      <c r="G38" s="2" t="e">
        <f>AVERAGE(Table77[Jil])</f>
        <v>#DIV/0!</v>
      </c>
      <c r="H38" s="2" t="e">
        <f>AVERAGE(Table77[NetJSON])</f>
        <v>#DIV/0!</v>
      </c>
      <c r="I38" s="2">
        <f>AVERAGE(Table77[Jackson])</f>
        <v>239</v>
      </c>
      <c r="J38" s="2">
        <f>AVERAGE(Table77[DSL Platform Java])</f>
        <v>243</v>
      </c>
      <c r="K38" s="2">
        <f>AVERAGE(Table77[Genson])</f>
        <v>246.6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241</v>
      </c>
      <c r="O38" s="2"/>
      <c r="P38" s="2"/>
      <c r="Q38" s="2"/>
    </row>
    <row r="39" spans="2:17">
      <c r="B39" t="s">
        <v>0</v>
      </c>
      <c r="C39" s="2">
        <f>AVERAGE(Table76[Newtonsoft]) - C38</f>
        <v>4072.2</v>
      </c>
      <c r="D39" s="2">
        <f>AVERAGE(Table76[Revenj]) - D38</f>
        <v>941.80000000000018</v>
      </c>
      <c r="E39" s="2" t="e">
        <f>AVERAGE(Table76[fastJSON]) - E38</f>
        <v>#DIV/0!</v>
      </c>
      <c r="F39" s="2">
        <f>AVERAGE(Table76[Service Stack]) - F38</f>
        <v>2266.6</v>
      </c>
      <c r="G39" s="2" t="e">
        <f>AVERAGE(Table76[Jil]) - G38</f>
        <v>#DIV/0!</v>
      </c>
      <c r="H39" s="2" t="e">
        <f>AVERAGE(Table76[NetJSON]) - H38</f>
        <v>#DIV/0!</v>
      </c>
      <c r="I39" s="2">
        <f>AVERAGE(Table76[Jackson]) - I38</f>
        <v>1118.5999999999999</v>
      </c>
      <c r="J39" s="2">
        <f>AVERAGE(Table76[DSL Platform Java]) - J38</f>
        <v>450.4</v>
      </c>
      <c r="K39" s="2">
        <f>AVERAGE(Table76[Genson]) - K38</f>
        <v>1092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2039.8000000000002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3615.3999999999996</v>
      </c>
      <c r="D40" s="2">
        <f t="shared" si="0"/>
        <v>2009.9999999999995</v>
      </c>
      <c r="E40" s="2" t="e">
        <f t="shared" ref="E40" si="1">E41 - E39 - E38</f>
        <v>#DIV/0!</v>
      </c>
      <c r="F40" s="2">
        <f t="shared" si="0"/>
        <v>5496.6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1706.6</v>
      </c>
      <c r="J40" s="2">
        <f t="shared" ref="J40" si="3">J41 - J39 - J38</f>
        <v>316.80000000000007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2112.1999999999998</v>
      </c>
      <c r="O40" s="2"/>
      <c r="P40" s="2"/>
      <c r="Q40" s="2"/>
    </row>
    <row r="41" spans="2:17">
      <c r="B41" t="s">
        <v>25</v>
      </c>
      <c r="C41" s="2">
        <f>AVERAGE(Table78[Newtonsoft])</f>
        <v>9039.7999999999993</v>
      </c>
      <c r="D41" s="2">
        <f>AVERAGE(Table78[Revenj])</f>
        <v>4311.3999999999996</v>
      </c>
      <c r="E41" s="2" t="e">
        <f>AVERAGE(Table78[fastJSON])</f>
        <v>#DIV/0!</v>
      </c>
      <c r="F41" s="2">
        <f>AVERAGE(Table78[Service Stack])</f>
        <v>9117.6</v>
      </c>
      <c r="G41" s="2" t="e">
        <f>AVERAGE(Table78[Jil])</f>
        <v>#DIV/0!</v>
      </c>
      <c r="H41" s="2" t="e">
        <f>AVERAGE(Table78[NetJSON])</f>
        <v>#DIV/0!</v>
      </c>
      <c r="I41" s="2">
        <f>AVERAGE(Table78[Jackson])</f>
        <v>3064.2</v>
      </c>
      <c r="J41" s="2">
        <f>AVERAGE(Table78[DSL Platform Java])</f>
        <v>1010.2</v>
      </c>
      <c r="K41" s="4" t="s">
        <v>54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4393</v>
      </c>
      <c r="O41" s="2"/>
      <c r="P41" s="2"/>
      <c r="Q41" s="2"/>
    </row>
    <row r="42" spans="2:17">
      <c r="B42" t="s">
        <v>4</v>
      </c>
      <c r="C42" s="3">
        <f>AVERAGE(Table76[Newtonsoft (size)])</f>
        <v>84048052</v>
      </c>
      <c r="D42" s="3">
        <f>AVERAGE(Table76[Revenj (size)])</f>
        <v>73425647</v>
      </c>
      <c r="E42" s="3" t="e">
        <f>AVERAGE(Table76[fastJSON (size)])</f>
        <v>#DIV/0!</v>
      </c>
      <c r="F42" s="3">
        <f>AVERAGE(Table76[Service Stack (size)])</f>
        <v>79509317</v>
      </c>
      <c r="G42" s="2" t="e">
        <f>AVERAGE(Table76[Jil (size)])</f>
        <v>#DIV/0!</v>
      </c>
      <c r="H42" s="2" t="e">
        <f>AVERAGE(Table76[NetJSON (size)])</f>
        <v>#DIV/0!</v>
      </c>
      <c r="I42" s="2">
        <f>AVERAGE(Table76[Jackson (size)])</f>
        <v>72855111</v>
      </c>
      <c r="J42" s="2">
        <f>AVERAGE(Table76[DSL Platform Java (size)])</f>
        <v>72800403</v>
      </c>
      <c r="K42" s="2">
        <f>AVERAGE(Table76[Genson (size)])</f>
        <v>76301917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DEVSQ(Table76[Newtonsoft])</f>
        <v>58929.2</v>
      </c>
      <c r="D47" s="2">
        <f>DEVSQ(Table76[Revenj])</f>
        <v>6187.1999999999989</v>
      </c>
      <c r="E47" s="2" t="e">
        <f>DEVSQ(Table76[fastJSON])</f>
        <v>#NUM!</v>
      </c>
      <c r="F47" s="2">
        <f>DEVSQ(Table76[Service Stack])</f>
        <v>814</v>
      </c>
      <c r="G47" s="2" t="e">
        <f>DEVSQ(Table76[Jil])</f>
        <v>#NUM!</v>
      </c>
      <c r="H47" s="2" t="e">
        <f>DEVSQ(Table76[NetJSON])</f>
        <v>#NUM!</v>
      </c>
      <c r="I47" s="2">
        <f>DEVSQ(Table76[Jackson])</f>
        <v>5865.1999999999989</v>
      </c>
      <c r="J47" s="2">
        <f>DEVSQ(Table76[DSL Platform Java])</f>
        <v>3673.2</v>
      </c>
      <c r="K47" s="2">
        <f>DEVSQ(Table76[Genson])</f>
        <v>12179.2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4898.8</v>
      </c>
      <c r="O47" s="2"/>
      <c r="P47" s="2"/>
      <c r="Q47" s="2"/>
    </row>
    <row r="48" spans="2:17">
      <c r="B48" t="s">
        <v>25</v>
      </c>
      <c r="C48" s="2">
        <f>DEVSQ(Table78[Newtonsoft])</f>
        <v>9026.8000000000011</v>
      </c>
      <c r="D48" s="2">
        <f>DEVSQ(Table78[Revenj])</f>
        <v>6029.2</v>
      </c>
      <c r="E48" s="2" t="e">
        <f>DEVSQ(Table78[fastJSON])</f>
        <v>#NUM!</v>
      </c>
      <c r="F48" s="2">
        <f>DEVSQ(Table78[Service Stack])</f>
        <v>16955.2</v>
      </c>
      <c r="G48" s="2" t="e">
        <f>DEVSQ(Table78[Jil])</f>
        <v>#NUM!</v>
      </c>
      <c r="H48" s="2" t="e">
        <f>DEVSQ(Table78[NetJSON])</f>
        <v>#NUM!</v>
      </c>
      <c r="I48" s="2">
        <f>DEVSQ(Table78[Jackson])</f>
        <v>22838.799999999999</v>
      </c>
      <c r="J48" s="2">
        <f>DEVSQ(Table78[DSL Platform Java])</f>
        <v>3078.7999999999997</v>
      </c>
      <c r="K48" s="2">
        <f>DEVSQ(Table78[Genson])</f>
        <v>46038.8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29714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1412</v>
      </c>
      <c r="C52">
        <v>1326</v>
      </c>
      <c r="E52">
        <v>1312</v>
      </c>
      <c r="H52">
        <v>235</v>
      </c>
      <c r="I52">
        <v>244</v>
      </c>
      <c r="J52">
        <v>250</v>
      </c>
      <c r="M52">
        <v>243</v>
      </c>
    </row>
    <row r="53" spans="2:25">
      <c r="B53">
        <v>1379</v>
      </c>
      <c r="C53">
        <v>1278</v>
      </c>
      <c r="E53">
        <v>1337</v>
      </c>
      <c r="H53">
        <v>238</v>
      </c>
      <c r="I53">
        <v>241</v>
      </c>
      <c r="J53">
        <v>242</v>
      </c>
      <c r="M53">
        <v>238</v>
      </c>
    </row>
    <row r="54" spans="2:25">
      <c r="B54">
        <v>1325</v>
      </c>
      <c r="C54">
        <v>1470</v>
      </c>
      <c r="E54">
        <v>1390</v>
      </c>
      <c r="H54">
        <v>234</v>
      </c>
      <c r="I54">
        <v>247</v>
      </c>
      <c r="J54">
        <v>262</v>
      </c>
      <c r="M54">
        <v>242</v>
      </c>
    </row>
    <row r="55" spans="2:25">
      <c r="B55">
        <v>1363</v>
      </c>
      <c r="C55">
        <v>1444</v>
      </c>
      <c r="E55">
        <v>1380</v>
      </c>
      <c r="H55">
        <v>239</v>
      </c>
      <c r="I55">
        <v>248</v>
      </c>
      <c r="J55">
        <v>234</v>
      </c>
      <c r="M55">
        <v>237</v>
      </c>
    </row>
    <row r="56" spans="2:25">
      <c r="B56">
        <v>1282</v>
      </c>
      <c r="C56">
        <v>1280</v>
      </c>
      <c r="E56">
        <v>1353</v>
      </c>
      <c r="H56">
        <v>249</v>
      </c>
      <c r="I56">
        <v>235</v>
      </c>
      <c r="J56">
        <v>245</v>
      </c>
      <c r="M56">
        <v>245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5456</v>
      </c>
      <c r="C60">
        <v>2314</v>
      </c>
      <c r="E60">
        <v>3625</v>
      </c>
      <c r="H60">
        <v>1356</v>
      </c>
      <c r="I60">
        <v>665</v>
      </c>
      <c r="J60">
        <v>1288</v>
      </c>
      <c r="M60">
        <v>2271</v>
      </c>
      <c r="N60">
        <v>84048052</v>
      </c>
      <c r="O60">
        <v>73494967</v>
      </c>
      <c r="Q60">
        <v>79509317</v>
      </c>
      <c r="T60">
        <v>72855111</v>
      </c>
      <c r="U60">
        <v>72801327</v>
      </c>
      <c r="V60">
        <v>76301917</v>
      </c>
      <c r="Y60">
        <v>73117617</v>
      </c>
    </row>
    <row r="61" spans="2:25">
      <c r="B61">
        <v>5473</v>
      </c>
      <c r="C61">
        <v>2250</v>
      </c>
      <c r="E61">
        <v>3615</v>
      </c>
      <c r="H61">
        <v>1409</v>
      </c>
      <c r="I61">
        <v>685</v>
      </c>
      <c r="J61">
        <v>1418</v>
      </c>
      <c r="M61">
        <v>2318</v>
      </c>
      <c r="N61">
        <v>84048052</v>
      </c>
      <c r="O61">
        <v>73148367</v>
      </c>
      <c r="Q61">
        <v>79509317</v>
      </c>
      <c r="T61">
        <v>72855111</v>
      </c>
      <c r="U61">
        <v>72798467</v>
      </c>
      <c r="V61">
        <v>76301917</v>
      </c>
      <c r="Y61">
        <v>73117617</v>
      </c>
    </row>
    <row r="62" spans="2:25">
      <c r="B62">
        <v>5293</v>
      </c>
      <c r="C62">
        <v>2289</v>
      </c>
      <c r="E62">
        <v>3641</v>
      </c>
      <c r="H62">
        <v>1380</v>
      </c>
      <c r="I62">
        <v>701</v>
      </c>
      <c r="J62">
        <v>1351</v>
      </c>
      <c r="M62">
        <v>2239</v>
      </c>
      <c r="N62">
        <v>84048052</v>
      </c>
      <c r="O62">
        <v>73494967</v>
      </c>
      <c r="Q62">
        <v>79509317</v>
      </c>
      <c r="T62">
        <v>72855111</v>
      </c>
      <c r="U62">
        <v>72800887</v>
      </c>
      <c r="V62">
        <v>76301917</v>
      </c>
      <c r="Y62">
        <v>73117617</v>
      </c>
    </row>
    <row r="63" spans="2:25">
      <c r="B63">
        <v>5314</v>
      </c>
      <c r="C63">
        <v>2296</v>
      </c>
      <c r="E63">
        <v>3622</v>
      </c>
      <c r="H63">
        <v>1314</v>
      </c>
      <c r="I63">
        <v>674</v>
      </c>
      <c r="J63">
        <v>1352</v>
      </c>
      <c r="M63">
        <v>2316</v>
      </c>
      <c r="N63">
        <v>84048052</v>
      </c>
      <c r="O63">
        <v>73494967</v>
      </c>
      <c r="Q63">
        <v>79509317</v>
      </c>
      <c r="T63">
        <v>72855111</v>
      </c>
      <c r="U63">
        <v>72800447</v>
      </c>
      <c r="V63">
        <v>76301917</v>
      </c>
      <c r="Y63">
        <v>73117617</v>
      </c>
    </row>
    <row r="64" spans="2:25">
      <c r="B64">
        <v>5586</v>
      </c>
      <c r="C64">
        <v>2358</v>
      </c>
      <c r="E64">
        <v>3602</v>
      </c>
      <c r="H64">
        <v>1329</v>
      </c>
      <c r="I64">
        <v>742</v>
      </c>
      <c r="J64">
        <v>1284</v>
      </c>
      <c r="M64">
        <v>2260</v>
      </c>
      <c r="N64">
        <v>84048052</v>
      </c>
      <c r="O64">
        <v>73494967</v>
      </c>
      <c r="Q64">
        <v>79509317</v>
      </c>
      <c r="T64">
        <v>72855111</v>
      </c>
      <c r="U64">
        <v>72800887</v>
      </c>
      <c r="V64">
        <v>76301917</v>
      </c>
      <c r="Y64">
        <v>73117617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9095</v>
      </c>
      <c r="C68">
        <v>4273</v>
      </c>
      <c r="E68">
        <v>9169</v>
      </c>
      <c r="H68">
        <v>3071</v>
      </c>
      <c r="I68">
        <v>1039</v>
      </c>
      <c r="J68">
        <v>2349</v>
      </c>
      <c r="M68">
        <v>4257</v>
      </c>
    </row>
    <row r="69" spans="2:13">
      <c r="B69">
        <v>8968</v>
      </c>
      <c r="C69">
        <v>4292</v>
      </c>
      <c r="E69">
        <v>9095</v>
      </c>
      <c r="H69">
        <v>2935</v>
      </c>
      <c r="I69">
        <v>1018</v>
      </c>
      <c r="J69">
        <v>2340</v>
      </c>
      <c r="M69">
        <v>4423</v>
      </c>
    </row>
    <row r="70" spans="2:13">
      <c r="B70">
        <v>9024</v>
      </c>
      <c r="C70">
        <v>4347</v>
      </c>
      <c r="E70">
        <v>9177</v>
      </c>
      <c r="H70">
        <v>3132</v>
      </c>
      <c r="I70">
        <v>983</v>
      </c>
      <c r="J70">
        <v>2373</v>
      </c>
      <c r="M70">
        <v>4364</v>
      </c>
    </row>
    <row r="71" spans="2:13">
      <c r="B71">
        <v>9051</v>
      </c>
      <c r="C71">
        <v>4286</v>
      </c>
      <c r="E71">
        <v>9130</v>
      </c>
      <c r="H71">
        <v>3094</v>
      </c>
      <c r="I71">
        <v>1032</v>
      </c>
      <c r="J71">
        <v>2265</v>
      </c>
      <c r="M71">
        <v>4474</v>
      </c>
    </row>
    <row r="72" spans="2:13">
      <c r="B72">
        <v>9061</v>
      </c>
      <c r="C72">
        <v>4359</v>
      </c>
      <c r="E72">
        <v>9017</v>
      </c>
      <c r="H72">
        <v>3089</v>
      </c>
      <c r="I72">
        <v>979</v>
      </c>
      <c r="J72">
        <v>2554</v>
      </c>
      <c r="M72">
        <v>4447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49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AVERAGE(Table82[Newtonsoft])</f>
        <v>13635.2</v>
      </c>
      <c r="D38" s="2">
        <f>AVERAGE(Table82[Revenj])</f>
        <v>13558.8</v>
      </c>
      <c r="E38" s="2" t="e">
        <f>AVERAGE(Table82[fastJSON])</f>
        <v>#DIV/0!</v>
      </c>
      <c r="F38" s="2">
        <f>AVERAGE(Table82[Service Stack])</f>
        <v>13964.2</v>
      </c>
      <c r="G38" s="2" t="e">
        <f>AVERAGE(Table82[Jil])</f>
        <v>#DIV/0!</v>
      </c>
      <c r="H38" s="2" t="e">
        <f>AVERAGE(Table82[NetJSON])</f>
        <v>#DIV/0!</v>
      </c>
      <c r="I38" s="2">
        <f>AVERAGE(Table82[Jackson])</f>
        <v>1336.8</v>
      </c>
      <c r="J38" s="2">
        <f>AVERAGE(Table82[DSL Platform Java])</f>
        <v>1344.4</v>
      </c>
      <c r="K38" s="2">
        <f>AVERAGE(Table82[Genson])</f>
        <v>1359.4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1337</v>
      </c>
      <c r="O38" s="2"/>
      <c r="P38" s="2"/>
      <c r="Q38" s="2"/>
    </row>
    <row r="39" spans="2:17">
      <c r="B39" t="s">
        <v>0</v>
      </c>
      <c r="C39" s="2">
        <f>AVERAGE(Table81[Newtonsoft]) - C38</f>
        <v>40644</v>
      </c>
      <c r="D39" s="2">
        <f>AVERAGE(Table81[Revenj]) - D38</f>
        <v>10038.799999999999</v>
      </c>
      <c r="E39" s="2" t="e">
        <f>AVERAGE(Table81[fastJSON]) - E38</f>
        <v>#DIV/0!</v>
      </c>
      <c r="F39" s="2">
        <f>AVERAGE(Table81[Service Stack]) - F38</f>
        <v>22424.799999999999</v>
      </c>
      <c r="G39" s="2" t="e">
        <f>AVERAGE(Table81[Jil]) - G38</f>
        <v>#DIV/0!</v>
      </c>
      <c r="H39" s="2" t="e">
        <f>AVERAGE(Table81[NetJSON]) - H38</f>
        <v>#DIV/0!</v>
      </c>
      <c r="I39" s="2">
        <f>AVERAGE(Table81[Jackson]) - I38</f>
        <v>7418.5999999999995</v>
      </c>
      <c r="J39" s="2">
        <f>AVERAGE(Table81[DSL Platform Java]) - J38</f>
        <v>2292.1999999999998</v>
      </c>
      <c r="K39" s="2">
        <f>AVERAGE(Table81[Genson]) - K38</f>
        <v>8941.6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15494.2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36190.800000000003</v>
      </c>
      <c r="D40" s="2">
        <f t="shared" si="0"/>
        <v>20013.2</v>
      </c>
      <c r="E40" s="2" t="e">
        <f t="shared" ref="E40" si="1">E41 - E39 - E38</f>
        <v>#DIV/0!</v>
      </c>
      <c r="F40" s="2">
        <f t="shared" si="0"/>
        <v>56050.600000000006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14103.000000000004</v>
      </c>
      <c r="J40" s="2">
        <f t="shared" ref="J40" si="3">J41 - J39 - J38</f>
        <v>2566.6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19927.600000000002</v>
      </c>
      <c r="O40" s="2"/>
      <c r="P40" s="2"/>
      <c r="Q40" s="2"/>
    </row>
    <row r="41" spans="2:17">
      <c r="B41" t="s">
        <v>25</v>
      </c>
      <c r="C41" s="2">
        <f>AVERAGE(Table83[Newtonsoft])</f>
        <v>90470</v>
      </c>
      <c r="D41" s="2">
        <f>AVERAGE(Table83[Revenj])</f>
        <v>43610.8</v>
      </c>
      <c r="E41" s="2" t="e">
        <f>AVERAGE(Table83[fastJSON])</f>
        <v>#DIV/0!</v>
      </c>
      <c r="F41" s="2">
        <f>AVERAGE(Table83[Service Stack])</f>
        <v>92439.6</v>
      </c>
      <c r="G41" s="2" t="e">
        <f>AVERAGE(Table83[Jil])</f>
        <v>#DIV/0!</v>
      </c>
      <c r="H41" s="2" t="e">
        <f>AVERAGE(Table83[NetJSON])</f>
        <v>#DIV/0!</v>
      </c>
      <c r="I41" s="2">
        <f>AVERAGE(Table83[Jackson])</f>
        <v>22858.400000000001</v>
      </c>
      <c r="J41" s="2">
        <f>AVERAGE(Table83[DSL Platform Java])</f>
        <v>6203.2</v>
      </c>
      <c r="K41" s="4" t="s">
        <v>54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36758.800000000003</v>
      </c>
      <c r="O41" s="2"/>
      <c r="P41" s="2"/>
      <c r="Q41" s="2"/>
    </row>
    <row r="42" spans="2:17">
      <c r="B42" t="s">
        <v>4</v>
      </c>
      <c r="C42" s="3">
        <f>AVERAGE(Table81[Newtonsoft (size)])</f>
        <v>850178252</v>
      </c>
      <c r="D42" s="3">
        <f>AVERAGE(Table81[Revenj (size)])</f>
        <v>745341367</v>
      </c>
      <c r="E42" s="3" t="e">
        <f>AVERAGE(Table81[fastJSON (size)])</f>
        <v>#DIV/0!</v>
      </c>
      <c r="F42" s="3">
        <f>AVERAGE(Table81[Service Stack (size)])</f>
        <v>805530098</v>
      </c>
      <c r="G42" s="2" t="e">
        <f>AVERAGE(Table81[Jil (size)])</f>
        <v>#DIV/0!</v>
      </c>
      <c r="H42" s="2" t="e">
        <f>AVERAGE(Table81[NetJSON (size)])</f>
        <v>#DIV/0!</v>
      </c>
      <c r="I42" s="2">
        <f>AVERAGE(Table81[Jackson (size)])</f>
        <v>738942711</v>
      </c>
      <c r="J42" s="2">
        <f>AVERAGE(Table81[DSL Platform Java (size)])</f>
        <v>738376807</v>
      </c>
      <c r="K42" s="2">
        <f>AVERAGE(Table81[Genson (size)])</f>
        <v>773410117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DEVSQ(Table81[Newtonsoft])</f>
        <v>709762.8</v>
      </c>
      <c r="D47" s="2">
        <f>DEVSQ(Table81[Revenj])</f>
        <v>877379.2</v>
      </c>
      <c r="E47" s="2" t="e">
        <f>DEVSQ(Table81[fastJSON])</f>
        <v>#NUM!</v>
      </c>
      <c r="F47" s="2">
        <f>DEVSQ(Table81[Service Stack])</f>
        <v>4985878</v>
      </c>
      <c r="G47" s="2" t="e">
        <f>DEVSQ(Table81[Jil])</f>
        <v>#NUM!</v>
      </c>
      <c r="H47" s="2" t="e">
        <f>DEVSQ(Table81[NetJSON])</f>
        <v>#NUM!</v>
      </c>
      <c r="I47" s="2">
        <f>DEVSQ(Table81[Jackson])</f>
        <v>74287.199999999997</v>
      </c>
      <c r="J47" s="2">
        <f>DEVSQ(Table81[DSL Platform Java])</f>
        <v>40717.199999999997</v>
      </c>
      <c r="K47" s="2">
        <f>DEVSQ(Table81[Genson])</f>
        <v>39770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763576.8</v>
      </c>
      <c r="O47" s="2"/>
      <c r="P47" s="2"/>
      <c r="Q47" s="2"/>
    </row>
    <row r="48" spans="2:17">
      <c r="B48" t="s">
        <v>25</v>
      </c>
      <c r="C48" s="2">
        <f>DEVSQ(Table83[Newtonsoft])</f>
        <v>6811062</v>
      </c>
      <c r="D48" s="2">
        <f>DEVSQ(Table83[Revenj])</f>
        <v>1449444.8</v>
      </c>
      <c r="E48" s="2" t="e">
        <f>DEVSQ(Table83[fastJSON])</f>
        <v>#NUM!</v>
      </c>
      <c r="F48" s="2">
        <f>DEVSQ(Table83[Service Stack])</f>
        <v>12024695.199999999</v>
      </c>
      <c r="G48" s="2" t="e">
        <f>DEVSQ(Table83[Jil])</f>
        <v>#NUM!</v>
      </c>
      <c r="H48" s="2" t="e">
        <f>DEVSQ(Table83[NetJSON])</f>
        <v>#NUM!</v>
      </c>
      <c r="I48" s="2">
        <f>DEVSQ(Table83[Jackson])</f>
        <v>787211.2</v>
      </c>
      <c r="J48" s="2">
        <f>DEVSQ(Table83[DSL Platform Java])</f>
        <v>17918.8</v>
      </c>
      <c r="K48" s="2">
        <f>DEVSQ(Table83[Genson])</f>
        <v>121164.8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1705578.8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13294</v>
      </c>
      <c r="C52">
        <v>12926</v>
      </c>
      <c r="E52">
        <v>13729</v>
      </c>
      <c r="H52">
        <v>1332</v>
      </c>
      <c r="I52">
        <v>1343</v>
      </c>
      <c r="J52">
        <v>1318</v>
      </c>
      <c r="M52">
        <v>1315</v>
      </c>
    </row>
    <row r="53" spans="2:25">
      <c r="B53">
        <v>13880</v>
      </c>
      <c r="C53">
        <v>13991</v>
      </c>
      <c r="E53">
        <v>14520</v>
      </c>
      <c r="H53">
        <v>1315</v>
      </c>
      <c r="I53">
        <v>1363</v>
      </c>
      <c r="J53">
        <v>1451</v>
      </c>
      <c r="M53">
        <v>1327</v>
      </c>
    </row>
    <row r="54" spans="2:25">
      <c r="B54">
        <v>13464</v>
      </c>
      <c r="C54">
        <v>12982</v>
      </c>
      <c r="E54">
        <v>13991</v>
      </c>
      <c r="H54">
        <v>1338</v>
      </c>
      <c r="I54">
        <v>1326</v>
      </c>
      <c r="J54">
        <v>1349</v>
      </c>
      <c r="M54">
        <v>1372</v>
      </c>
    </row>
    <row r="55" spans="2:25">
      <c r="B55">
        <v>13165</v>
      </c>
      <c r="C55">
        <v>13716</v>
      </c>
      <c r="E55">
        <v>14143</v>
      </c>
      <c r="H55">
        <v>1362</v>
      </c>
      <c r="I55">
        <v>1332</v>
      </c>
      <c r="J55">
        <v>1350</v>
      </c>
      <c r="M55">
        <v>1314</v>
      </c>
    </row>
    <row r="56" spans="2:25">
      <c r="B56">
        <v>14373</v>
      </c>
      <c r="C56">
        <v>14179</v>
      </c>
      <c r="E56">
        <v>13438</v>
      </c>
      <c r="H56">
        <v>1337</v>
      </c>
      <c r="I56">
        <v>1358</v>
      </c>
      <c r="J56">
        <v>1329</v>
      </c>
      <c r="M56">
        <v>1357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53844</v>
      </c>
      <c r="C60">
        <v>23883</v>
      </c>
      <c r="E60">
        <v>36202</v>
      </c>
      <c r="H60">
        <v>8537</v>
      </c>
      <c r="I60">
        <v>3604</v>
      </c>
      <c r="J60">
        <v>10205</v>
      </c>
      <c r="M60">
        <v>16312</v>
      </c>
      <c r="N60">
        <v>850871452</v>
      </c>
      <c r="O60">
        <v>745341367</v>
      </c>
      <c r="Q60">
        <v>805530098</v>
      </c>
      <c r="T60">
        <v>738942711</v>
      </c>
      <c r="U60">
        <v>738365367</v>
      </c>
      <c r="V60">
        <v>773410117</v>
      </c>
      <c r="Y60">
        <v>741567117</v>
      </c>
    </row>
    <row r="61" spans="2:25">
      <c r="B61">
        <v>54015</v>
      </c>
      <c r="C61">
        <v>22825</v>
      </c>
      <c r="E61">
        <v>35511</v>
      </c>
      <c r="H61">
        <v>8830</v>
      </c>
      <c r="I61">
        <v>3717</v>
      </c>
      <c r="J61">
        <v>10407</v>
      </c>
      <c r="M61">
        <v>16893</v>
      </c>
      <c r="N61">
        <v>850871452</v>
      </c>
      <c r="O61">
        <v>745341367</v>
      </c>
      <c r="Q61">
        <v>805530098</v>
      </c>
      <c r="T61">
        <v>738942711</v>
      </c>
      <c r="U61">
        <v>738389567</v>
      </c>
      <c r="V61">
        <v>773410117</v>
      </c>
      <c r="Y61">
        <v>741567117</v>
      </c>
    </row>
    <row r="62" spans="2:25">
      <c r="B62">
        <v>54950</v>
      </c>
      <c r="C62">
        <v>23498</v>
      </c>
      <c r="E62">
        <v>35879</v>
      </c>
      <c r="H62">
        <v>8728</v>
      </c>
      <c r="I62">
        <v>3474</v>
      </c>
      <c r="J62">
        <v>10244</v>
      </c>
      <c r="M62">
        <v>17151</v>
      </c>
      <c r="N62">
        <v>850871452</v>
      </c>
      <c r="O62">
        <v>745341367</v>
      </c>
      <c r="Q62">
        <v>805530098</v>
      </c>
      <c r="T62">
        <v>738942711</v>
      </c>
      <c r="U62">
        <v>738360967</v>
      </c>
      <c r="V62">
        <v>773410117</v>
      </c>
      <c r="Y62">
        <v>741567117</v>
      </c>
    </row>
    <row r="63" spans="2:25">
      <c r="B63">
        <v>54284</v>
      </c>
      <c r="C63">
        <v>23799</v>
      </c>
      <c r="E63">
        <v>38334</v>
      </c>
      <c r="H63">
        <v>8894</v>
      </c>
      <c r="I63">
        <v>3703</v>
      </c>
      <c r="J63">
        <v>10238</v>
      </c>
      <c r="M63">
        <v>17335</v>
      </c>
      <c r="N63">
        <v>847405452</v>
      </c>
      <c r="O63">
        <v>745341367</v>
      </c>
      <c r="Q63">
        <v>805530098</v>
      </c>
      <c r="T63">
        <v>738942711</v>
      </c>
      <c r="U63">
        <v>738380767</v>
      </c>
      <c r="V63">
        <v>773410117</v>
      </c>
      <c r="Y63">
        <v>741567117</v>
      </c>
    </row>
    <row r="64" spans="2:25">
      <c r="B64">
        <v>54303</v>
      </c>
      <c r="C64">
        <v>23983</v>
      </c>
      <c r="E64">
        <v>36019</v>
      </c>
      <c r="H64">
        <v>8788</v>
      </c>
      <c r="I64">
        <v>3685</v>
      </c>
      <c r="J64">
        <v>10411</v>
      </c>
      <c r="M64">
        <v>16465</v>
      </c>
      <c r="N64">
        <v>850871452</v>
      </c>
      <c r="O64">
        <v>745341367</v>
      </c>
      <c r="Q64">
        <v>805530098</v>
      </c>
      <c r="T64">
        <v>738942711</v>
      </c>
      <c r="U64">
        <v>738387367</v>
      </c>
      <c r="V64">
        <v>773410117</v>
      </c>
      <c r="Y64">
        <v>741567117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89179</v>
      </c>
      <c r="C68">
        <v>44262</v>
      </c>
      <c r="E68">
        <v>90251</v>
      </c>
      <c r="H68">
        <v>23048</v>
      </c>
      <c r="I68">
        <v>6119</v>
      </c>
      <c r="J68">
        <v>16497</v>
      </c>
      <c r="M68">
        <v>37578</v>
      </c>
    </row>
    <row r="69" spans="2:13">
      <c r="B69">
        <v>92336</v>
      </c>
      <c r="C69">
        <v>43510</v>
      </c>
      <c r="E69">
        <v>92773</v>
      </c>
      <c r="H69">
        <v>22566</v>
      </c>
      <c r="I69">
        <v>6266</v>
      </c>
      <c r="J69">
        <v>16667</v>
      </c>
      <c r="M69">
        <v>36137</v>
      </c>
    </row>
    <row r="70" spans="2:13">
      <c r="B70">
        <v>91295</v>
      </c>
      <c r="C70">
        <v>43472</v>
      </c>
      <c r="E70">
        <v>91110</v>
      </c>
      <c r="H70">
        <v>22480</v>
      </c>
      <c r="I70">
        <v>6166</v>
      </c>
      <c r="J70">
        <v>16657</v>
      </c>
      <c r="M70">
        <v>36194</v>
      </c>
    </row>
    <row r="71" spans="2:13">
      <c r="B71">
        <v>89740</v>
      </c>
      <c r="C71">
        <v>44080</v>
      </c>
      <c r="E71">
        <v>93655</v>
      </c>
      <c r="H71">
        <v>22648</v>
      </c>
      <c r="I71">
        <v>6276</v>
      </c>
      <c r="J71">
        <v>16333</v>
      </c>
      <c r="M71">
        <v>36581</v>
      </c>
    </row>
    <row r="72" spans="2:13">
      <c r="B72">
        <v>89800</v>
      </c>
      <c r="C72">
        <v>42730</v>
      </c>
      <c r="E72">
        <v>94409</v>
      </c>
      <c r="H72">
        <v>23550</v>
      </c>
      <c r="I72">
        <v>6189</v>
      </c>
      <c r="J72">
        <v>16297</v>
      </c>
      <c r="M72">
        <v>37304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50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AVERAGE(Table87[Newtonsoft])</f>
        <v>134887.6</v>
      </c>
      <c r="D38" s="2">
        <f>AVERAGE(Table87[Revenj])</f>
        <v>135805</v>
      </c>
      <c r="E38" s="2" t="e">
        <f>AVERAGE(Table87[fastJSON])</f>
        <v>#DIV/0!</v>
      </c>
      <c r="F38" s="2">
        <f>AVERAGE(Table87[Service Stack])</f>
        <v>136307.79999999999</v>
      </c>
      <c r="G38" s="2" t="e">
        <f>AVERAGE(Table87[Jil])</f>
        <v>#DIV/0!</v>
      </c>
      <c r="H38" s="2" t="e">
        <f>AVERAGE(Table87[NetJSON])</f>
        <v>#DIV/0!</v>
      </c>
      <c r="I38" s="2">
        <f>AVERAGE(Table87[Jackson])</f>
        <v>11313.6</v>
      </c>
      <c r="J38" s="2">
        <f>AVERAGE(Table87[DSL Platform Java])</f>
        <v>11209</v>
      </c>
      <c r="K38" s="2">
        <f>AVERAGE(Table87[Genson])</f>
        <v>11462.4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11156.6</v>
      </c>
      <c r="O38" s="2"/>
      <c r="P38" s="2"/>
      <c r="Q38" s="2"/>
    </row>
    <row r="39" spans="2:17">
      <c r="B39" t="s">
        <v>0</v>
      </c>
      <c r="C39" s="2">
        <f>AVERAGE(Table86[Newtonsoft]) - C38</f>
        <v>416624</v>
      </c>
      <c r="D39" s="2">
        <f>AVERAGE(Table86[Revenj]) - D38</f>
        <v>106170.4</v>
      </c>
      <c r="E39" s="2" t="e">
        <f>AVERAGE(Table86[fastJSON]) - E38</f>
        <v>#DIV/0!</v>
      </c>
      <c r="F39" s="2">
        <f>AVERAGE(Table86[Service Stack]) - F38</f>
        <v>230224.2</v>
      </c>
      <c r="G39" s="2" t="e">
        <f>AVERAGE(Table86[Jil]) - G38</f>
        <v>#DIV/0!</v>
      </c>
      <c r="H39" s="2" t="e">
        <f>AVERAGE(Table86[NetJSON]) - H38</f>
        <v>#DIV/0!</v>
      </c>
      <c r="I39" s="2">
        <f>AVERAGE(Table86[Jackson]) - I38</f>
        <v>68283.799999999988</v>
      </c>
      <c r="J39" s="2">
        <f>AVERAGE(Table86[DSL Platform Java]) - J38</f>
        <v>20938.400000000001</v>
      </c>
      <c r="K39" s="2">
        <f>AVERAGE(Table86[Genson]) - K38</f>
        <v>83910.8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153275.6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362586.20000000007</v>
      </c>
      <c r="D40" s="2">
        <f t="shared" si="0"/>
        <v>194038.40000000002</v>
      </c>
      <c r="E40" s="2" t="e">
        <f t="shared" ref="E40" si="1">E41 - E39 - E38</f>
        <v>#DIV/0!</v>
      </c>
      <c r="F40" s="2">
        <f t="shared" si="0"/>
        <v>576294.80000000005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150854</v>
      </c>
      <c r="J40" s="2">
        <f t="shared" ref="J40" si="3">J41 - J39 - J38</f>
        <v>26800.799999999996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198279.8</v>
      </c>
      <c r="O40" s="2"/>
      <c r="P40" s="2"/>
      <c r="Q40" s="2"/>
    </row>
    <row r="41" spans="2:17">
      <c r="B41" t="s">
        <v>25</v>
      </c>
      <c r="C41" s="2">
        <f>AVERAGE(Table88[Newtonsoft])</f>
        <v>914097.8</v>
      </c>
      <c r="D41" s="2">
        <f>AVERAGE(Table88[Revenj])</f>
        <v>436013.8</v>
      </c>
      <c r="E41" s="2" t="e">
        <f>AVERAGE(Table88[fastJSON])</f>
        <v>#DIV/0!</v>
      </c>
      <c r="F41" s="2">
        <f>AVERAGE(Table88[Service Stack])</f>
        <v>942826.8</v>
      </c>
      <c r="G41" s="2" t="e">
        <f>AVERAGE(Table88[Jil])</f>
        <v>#DIV/0!</v>
      </c>
      <c r="H41" s="2" t="e">
        <f>AVERAGE(Table88[NetJSON])</f>
        <v>#DIV/0!</v>
      </c>
      <c r="I41" s="2">
        <f>AVERAGE(Table88[Jackson])</f>
        <v>230451.4</v>
      </c>
      <c r="J41" s="2">
        <f>AVERAGE(Table88[DSL Platform Java])</f>
        <v>58948.2</v>
      </c>
      <c r="K41" s="4" t="s">
        <v>54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362712</v>
      </c>
      <c r="O41" s="2"/>
      <c r="P41" s="2"/>
      <c r="Q41" s="2"/>
    </row>
    <row r="42" spans="2:17">
      <c r="B42" t="s">
        <v>4</v>
      </c>
      <c r="C42" s="3">
        <f>AVERAGE(Table86[Newtonsoft (size)])</f>
        <v>8605773452</v>
      </c>
      <c r="D42" s="3">
        <f>AVERAGE(Table86[Revenj (size)])</f>
        <v>7557405367</v>
      </c>
      <c r="E42" s="3" t="e">
        <f>AVERAGE(Table86[fastJSON (size)])</f>
        <v>#DIV/0!</v>
      </c>
      <c r="F42" s="3">
        <f>AVERAGE(Table86[Service Stack (size)])</f>
        <v>8204328098</v>
      </c>
      <c r="G42" s="2" t="e">
        <f>AVERAGE(Table86[Jil (size)])</f>
        <v>#DIV/0!</v>
      </c>
      <c r="H42" s="2" t="e">
        <f>AVERAGE(Table86[NetJSON (size)])</f>
        <v>#DIV/0!</v>
      </c>
      <c r="I42" s="2">
        <f>AVERAGE(Table86[Jackson (size)])</f>
        <v>7493418711</v>
      </c>
      <c r="J42" s="2">
        <f>AVERAGE(Table86[DSL Platform Java (size)])</f>
        <v>7487618967</v>
      </c>
      <c r="K42" s="2">
        <f>AVERAGE(Table86[Genson (size)])</f>
        <v>7838092117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DEVSQ(Table86[Newtonsoft])</f>
        <v>127417337.20000002</v>
      </c>
      <c r="D47" s="2">
        <f>DEVSQ(Table86[Revenj])</f>
        <v>166196545.20000002</v>
      </c>
      <c r="E47" s="2" t="e">
        <f>DEVSQ(Table86[fastJSON])</f>
        <v>#NUM!</v>
      </c>
      <c r="F47" s="2">
        <f>DEVSQ(Table86[Service Stack])</f>
        <v>247999934</v>
      </c>
      <c r="G47" s="2" t="e">
        <f>DEVSQ(Table86[Jil])</f>
        <v>#NUM!</v>
      </c>
      <c r="H47" s="2" t="e">
        <f>DEVSQ(Table86[NetJSON])</f>
        <v>#NUM!</v>
      </c>
      <c r="I47" s="2">
        <f>DEVSQ(Table86[Jackson])</f>
        <v>25492281.200000003</v>
      </c>
      <c r="J47" s="2">
        <f>DEVSQ(Table86[DSL Platform Java])</f>
        <v>849117.2</v>
      </c>
      <c r="K47" s="2">
        <f>DEVSQ(Table86[Genson])</f>
        <v>2681444.7999999998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44309366.799999997</v>
      </c>
      <c r="O47" s="2"/>
      <c r="P47" s="2"/>
      <c r="Q47" s="2"/>
    </row>
    <row r="48" spans="2:17">
      <c r="B48" t="s">
        <v>25</v>
      </c>
      <c r="C48" s="2">
        <f>DEVSQ(Table88[Newtonsoft])</f>
        <v>1374032508.8</v>
      </c>
      <c r="D48" s="2">
        <f>DEVSQ(Table88[Revenj])</f>
        <v>10475122.799999999</v>
      </c>
      <c r="E48" s="2" t="e">
        <f>DEVSQ(Table88[fastJSON])</f>
        <v>#NUM!</v>
      </c>
      <c r="F48" s="2">
        <f>DEVSQ(Table88[Service Stack])</f>
        <v>140594316.79999998</v>
      </c>
      <c r="G48" s="2" t="e">
        <f>DEVSQ(Table88[Jil])</f>
        <v>#NUM!</v>
      </c>
      <c r="H48" s="2" t="e">
        <f>DEVSQ(Table88[NetJSON])</f>
        <v>#NUM!</v>
      </c>
      <c r="I48" s="2">
        <f>DEVSQ(Table88[Jackson])</f>
        <v>107341139.20000002</v>
      </c>
      <c r="J48" s="2">
        <f>DEVSQ(Table88[DSL Platform Java])</f>
        <v>3931326.8</v>
      </c>
      <c r="K48" s="2">
        <f>DEVSQ(Table88[Genson])</f>
        <v>66013184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22924630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133942</v>
      </c>
      <c r="C52">
        <v>135041</v>
      </c>
      <c r="E52">
        <v>141434</v>
      </c>
      <c r="H52">
        <v>11323</v>
      </c>
      <c r="I52">
        <v>11521</v>
      </c>
      <c r="J52">
        <v>11375</v>
      </c>
      <c r="M52">
        <v>11209</v>
      </c>
    </row>
    <row r="53" spans="2:25">
      <c r="B53">
        <v>134662</v>
      </c>
      <c r="C53">
        <v>145284</v>
      </c>
      <c r="E53">
        <v>131787</v>
      </c>
      <c r="H53">
        <v>11329</v>
      </c>
      <c r="I53">
        <v>11200</v>
      </c>
      <c r="J53">
        <v>11410</v>
      </c>
      <c r="M53">
        <v>11014</v>
      </c>
    </row>
    <row r="54" spans="2:25">
      <c r="B54">
        <v>134002</v>
      </c>
      <c r="C54">
        <v>133063</v>
      </c>
      <c r="E54">
        <v>134489</v>
      </c>
      <c r="H54">
        <v>11168</v>
      </c>
      <c r="I54">
        <v>10979</v>
      </c>
      <c r="J54">
        <v>11516</v>
      </c>
      <c r="M54">
        <v>11298</v>
      </c>
    </row>
    <row r="55" spans="2:25">
      <c r="B55">
        <v>135825</v>
      </c>
      <c r="C55">
        <v>133072</v>
      </c>
      <c r="E55">
        <v>133148</v>
      </c>
      <c r="H55">
        <v>11441</v>
      </c>
      <c r="I55">
        <v>11102</v>
      </c>
      <c r="J55">
        <v>11502</v>
      </c>
      <c r="M55">
        <v>10910</v>
      </c>
    </row>
    <row r="56" spans="2:25">
      <c r="B56">
        <v>136007</v>
      </c>
      <c r="C56">
        <v>132565</v>
      </c>
      <c r="E56">
        <v>140681</v>
      </c>
      <c r="H56">
        <v>11307</v>
      </c>
      <c r="I56">
        <v>11243</v>
      </c>
      <c r="J56">
        <v>11509</v>
      </c>
      <c r="M56">
        <v>11352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554024</v>
      </c>
      <c r="C60">
        <v>237416</v>
      </c>
      <c r="E60">
        <v>361461</v>
      </c>
      <c r="H60">
        <v>78675</v>
      </c>
      <c r="I60">
        <v>31570</v>
      </c>
      <c r="J60">
        <v>94271</v>
      </c>
      <c r="M60">
        <v>165200</v>
      </c>
      <c r="N60">
        <v>8612705452</v>
      </c>
      <c r="O60">
        <v>7557405367</v>
      </c>
      <c r="Q60">
        <v>8204328098</v>
      </c>
      <c r="T60">
        <v>7493418711</v>
      </c>
      <c r="U60">
        <v>7487667367</v>
      </c>
      <c r="V60">
        <v>7838092117</v>
      </c>
      <c r="Y60">
        <v>7519662117</v>
      </c>
    </row>
    <row r="61" spans="2:25">
      <c r="B61">
        <v>559738</v>
      </c>
      <c r="C61">
        <v>246804</v>
      </c>
      <c r="E61">
        <v>365922</v>
      </c>
      <c r="H61">
        <v>80962</v>
      </c>
      <c r="I61">
        <v>32797</v>
      </c>
      <c r="J61">
        <v>95611</v>
      </c>
      <c r="M61">
        <v>163869</v>
      </c>
      <c r="N61">
        <v>8612705452</v>
      </c>
      <c r="O61">
        <v>7557405367</v>
      </c>
      <c r="Q61">
        <v>8204328098</v>
      </c>
      <c r="T61">
        <v>7493418711</v>
      </c>
      <c r="U61">
        <v>7487381367</v>
      </c>
      <c r="V61">
        <v>7838092117</v>
      </c>
      <c r="Y61">
        <v>7519662117</v>
      </c>
    </row>
    <row r="62" spans="2:25">
      <c r="B62">
        <v>551085</v>
      </c>
      <c r="C62">
        <v>250785</v>
      </c>
      <c r="E62">
        <v>380232</v>
      </c>
      <c r="H62">
        <v>83026</v>
      </c>
      <c r="I62">
        <v>32140</v>
      </c>
      <c r="J62">
        <v>96144</v>
      </c>
      <c r="M62">
        <v>167483</v>
      </c>
      <c r="N62">
        <v>8612705452</v>
      </c>
      <c r="O62">
        <v>7557405367</v>
      </c>
      <c r="Q62">
        <v>8204328098</v>
      </c>
      <c r="T62">
        <v>7493418711</v>
      </c>
      <c r="U62">
        <v>7487623367</v>
      </c>
      <c r="V62">
        <v>7838092117</v>
      </c>
      <c r="Y62">
        <v>7519662117</v>
      </c>
    </row>
    <row r="63" spans="2:25">
      <c r="B63">
        <v>546554</v>
      </c>
      <c r="C63">
        <v>238715</v>
      </c>
      <c r="E63">
        <v>363540</v>
      </c>
      <c r="H63">
        <v>76333</v>
      </c>
      <c r="I63">
        <v>32329</v>
      </c>
      <c r="J63">
        <v>96057</v>
      </c>
      <c r="M63">
        <v>159010</v>
      </c>
      <c r="N63">
        <v>8595375452</v>
      </c>
      <c r="O63">
        <v>7557405367</v>
      </c>
      <c r="Q63">
        <v>8204328098</v>
      </c>
      <c r="T63">
        <v>7493418711</v>
      </c>
      <c r="U63">
        <v>7487601367</v>
      </c>
      <c r="V63">
        <v>7838092117</v>
      </c>
      <c r="Y63">
        <v>7519662117</v>
      </c>
    </row>
    <row r="64" spans="2:25">
      <c r="B64">
        <v>546157</v>
      </c>
      <c r="C64">
        <v>236157</v>
      </c>
      <c r="E64">
        <v>361505</v>
      </c>
      <c r="H64">
        <v>78991</v>
      </c>
      <c r="I64">
        <v>31901</v>
      </c>
      <c r="J64">
        <v>94783</v>
      </c>
      <c r="M64">
        <v>166599</v>
      </c>
      <c r="N64">
        <v>8595375452</v>
      </c>
      <c r="O64">
        <v>7557405367</v>
      </c>
      <c r="Q64">
        <v>8204328098</v>
      </c>
      <c r="T64">
        <v>7493418711</v>
      </c>
      <c r="U64">
        <v>7487821367</v>
      </c>
      <c r="V64">
        <v>7838092117</v>
      </c>
      <c r="Y64">
        <v>7519662117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909792</v>
      </c>
      <c r="C68">
        <v>437411</v>
      </c>
      <c r="E68">
        <v>950391</v>
      </c>
      <c r="H68">
        <v>236558</v>
      </c>
      <c r="I68">
        <v>60354</v>
      </c>
      <c r="J68">
        <v>155368</v>
      </c>
      <c r="M68">
        <v>365276</v>
      </c>
    </row>
    <row r="69" spans="2:13">
      <c r="B69">
        <v>907240</v>
      </c>
      <c r="C69">
        <v>437732</v>
      </c>
      <c r="E69">
        <v>946016</v>
      </c>
      <c r="H69">
        <v>223444</v>
      </c>
      <c r="I69">
        <v>58089</v>
      </c>
      <c r="J69">
        <v>161432</v>
      </c>
      <c r="M69">
        <v>362877</v>
      </c>
    </row>
    <row r="70" spans="2:13">
      <c r="B70">
        <v>898876</v>
      </c>
      <c r="C70">
        <v>434152</v>
      </c>
      <c r="E70">
        <v>944019</v>
      </c>
      <c r="H70">
        <v>227331</v>
      </c>
      <c r="I70">
        <v>57903</v>
      </c>
      <c r="J70">
        <v>163776</v>
      </c>
      <c r="M70">
        <v>363358</v>
      </c>
    </row>
    <row r="71" spans="2:13">
      <c r="B71">
        <v>908203</v>
      </c>
      <c r="C71">
        <v>436199</v>
      </c>
      <c r="E71">
        <v>936387</v>
      </c>
      <c r="H71">
        <v>231212</v>
      </c>
      <c r="I71">
        <v>59204</v>
      </c>
      <c r="J71">
        <v>158268</v>
      </c>
      <c r="M71">
        <v>363284</v>
      </c>
    </row>
    <row r="72" spans="2:13">
      <c r="B72">
        <v>946378</v>
      </c>
      <c r="C72">
        <v>434575</v>
      </c>
      <c r="E72">
        <v>937321</v>
      </c>
      <c r="H72">
        <v>233712</v>
      </c>
      <c r="I72">
        <v>59191</v>
      </c>
      <c r="J72">
        <v>154056</v>
      </c>
      <c r="M72">
        <v>358765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C37" sqref="C37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51</v>
      </c>
    </row>
    <row r="37" spans="2:17">
      <c r="B37" t="s">
        <v>2</v>
      </c>
      <c r="C37" t="s">
        <v>53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AVERAGE(Table92[Newtonsoft])</f>
        <v>966.4</v>
      </c>
      <c r="D38" s="2">
        <f>AVERAGE(Table92[Revenj])</f>
        <v>961.8</v>
      </c>
      <c r="E38" s="2" t="e">
        <f>AVERAGE(Table92[fastJSON])</f>
        <v>#DIV/0!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304.8</v>
      </c>
      <c r="J38" s="2">
        <f>AVERAGE(Table92[DSL Platform Java])</f>
        <v>252.2</v>
      </c>
      <c r="K38" s="2" t="e">
        <f>AVERAGE(Table92[Genson])</f>
        <v>#DIV/0!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>
      <c r="B39" t="s">
        <v>0</v>
      </c>
      <c r="C39" s="2">
        <f>AVERAGE(Table91[Newtonsoft]) - C38</f>
        <v>2097.1999999999998</v>
      </c>
      <c r="D39" s="2">
        <f>AVERAGE(Table91[Revenj]) - D38</f>
        <v>736.60000000000014</v>
      </c>
      <c r="E39" s="2" t="e">
        <f>AVERAGE(Table91[fastJSON]) - E38</f>
        <v>#DIV/0!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847.2</v>
      </c>
      <c r="J39" s="2">
        <f>AVERAGE(Table91[DSL Platform Java]) - J38</f>
        <v>223.2</v>
      </c>
      <c r="K39" s="2" t="e">
        <f>AVERAGE(Table91[Genson]) - K38</f>
        <v>#DIV/0!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2896.6</v>
      </c>
      <c r="D40" s="2">
        <f t="shared" si="0"/>
        <v>1888.7999999999995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1596.4</v>
      </c>
      <c r="J40" s="2">
        <f t="shared" ref="J40" si="3">J41 - J39 - J38</f>
        <v>226.20000000000005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25</v>
      </c>
      <c r="C41" s="2">
        <f>AVERAGE(Table93[Newtonsoft])</f>
        <v>5960.2</v>
      </c>
      <c r="D41" s="2">
        <f>AVERAGE(Table93[Revenj])</f>
        <v>3587.2</v>
      </c>
      <c r="E41" s="2" t="e">
        <f>AVERAGE(Table93[fastJSON])</f>
        <v>#DIV/0!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2748.4</v>
      </c>
      <c r="J41" s="2">
        <f>AVERAGE(Table93[DSL Platform Java])</f>
        <v>701.6</v>
      </c>
      <c r="K41" s="2" t="e">
        <f>AVERAGE(Table93[Genson])</f>
        <v>#DIV/0!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>
      <c r="B42" t="s">
        <v>4</v>
      </c>
      <c r="C42" s="3">
        <f>AVERAGE(Table91[Newtonsoft (size)])</f>
        <v>53427744</v>
      </c>
      <c r="D42" s="3">
        <f>AVERAGE(Table91[Revenj (size)])</f>
        <v>49222928</v>
      </c>
      <c r="E42" s="3" t="e">
        <f>AVERAGE(Table91[fastJSON (size)])</f>
        <v>#DIV/0!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48172180</v>
      </c>
      <c r="J42" s="2">
        <f>AVERAGE(Table91[DSL Platform Java (size)])</f>
        <v>48172180</v>
      </c>
      <c r="K42" s="2" t="e">
        <f>AVERAGE(Table91[Genson (size)])</f>
        <v>#DIV/0!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DEVSQ(Table91[Newtonsoft])</f>
        <v>651.20000000000005</v>
      </c>
      <c r="D47" s="2">
        <f>DEVSQ(Table91[Revenj])</f>
        <v>20737.2</v>
      </c>
      <c r="E47" s="2" t="e">
        <f>DEVSQ(Table91[fastJSON])</f>
        <v>#NUM!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156</v>
      </c>
      <c r="J47" s="2">
        <f>DEVSQ(Table91[DSL Platform Java])</f>
        <v>373.19999999999993</v>
      </c>
      <c r="K47" s="2" t="e">
        <f>DEVSQ(Table91[Genson])</f>
        <v>#NUM!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>
      <c r="B48" t="s">
        <v>25</v>
      </c>
      <c r="C48" s="2">
        <f>DEVSQ(Table93[Newtonsoft])</f>
        <v>3104.8</v>
      </c>
      <c r="D48" s="2">
        <f>DEVSQ(Table93[Revenj])</f>
        <v>4434.8</v>
      </c>
      <c r="E48" s="2" t="e">
        <f>DEVSQ(Table93[fastJSON])</f>
        <v>#NUM!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2459.1999999999998</v>
      </c>
      <c r="J48" s="2">
        <f>DEVSQ(Table93[DSL Platform Java])</f>
        <v>337.19999999999993</v>
      </c>
      <c r="K48" s="2" t="e">
        <f>DEVSQ(Table93[Genson])</f>
        <v>#NUM!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944</v>
      </c>
      <c r="C52">
        <v>950</v>
      </c>
      <c r="H52">
        <v>300</v>
      </c>
      <c r="I52">
        <v>249</v>
      </c>
    </row>
    <row r="53" spans="2:25">
      <c r="B53">
        <v>957</v>
      </c>
      <c r="C53">
        <v>963</v>
      </c>
      <c r="H53">
        <v>307</v>
      </c>
      <c r="I53">
        <v>258</v>
      </c>
    </row>
    <row r="54" spans="2:25">
      <c r="B54">
        <v>999</v>
      </c>
      <c r="C54">
        <v>986</v>
      </c>
      <c r="H54">
        <v>303</v>
      </c>
      <c r="I54">
        <v>260</v>
      </c>
    </row>
    <row r="55" spans="2:25">
      <c r="B55">
        <v>979</v>
      </c>
      <c r="C55">
        <v>964</v>
      </c>
      <c r="H55">
        <v>306</v>
      </c>
      <c r="I55">
        <v>249</v>
      </c>
    </row>
    <row r="56" spans="2:25">
      <c r="B56">
        <v>953</v>
      </c>
      <c r="C56">
        <v>946</v>
      </c>
      <c r="H56">
        <v>308</v>
      </c>
      <c r="I56">
        <v>245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3086</v>
      </c>
      <c r="C60">
        <v>1826</v>
      </c>
      <c r="H60">
        <v>1149</v>
      </c>
      <c r="I60">
        <v>477</v>
      </c>
      <c r="N60">
        <v>53427744</v>
      </c>
      <c r="O60">
        <v>49485608</v>
      </c>
      <c r="T60">
        <v>48172180</v>
      </c>
      <c r="U60">
        <v>48172180</v>
      </c>
    </row>
    <row r="61" spans="2:25">
      <c r="B61">
        <v>3054</v>
      </c>
      <c r="C61">
        <v>1667</v>
      </c>
      <c r="H61">
        <v>1147</v>
      </c>
      <c r="I61">
        <v>473</v>
      </c>
      <c r="N61">
        <v>53427744</v>
      </c>
      <c r="O61">
        <v>49485608</v>
      </c>
      <c r="T61">
        <v>48172180</v>
      </c>
      <c r="U61">
        <v>48172180</v>
      </c>
    </row>
    <row r="62" spans="2:25">
      <c r="B62">
        <v>3060</v>
      </c>
      <c r="C62">
        <v>1678</v>
      </c>
      <c r="H62">
        <v>1161</v>
      </c>
      <c r="I62">
        <v>462</v>
      </c>
      <c r="N62">
        <v>53427744</v>
      </c>
      <c r="O62">
        <v>48828908</v>
      </c>
      <c r="T62">
        <v>48172180</v>
      </c>
      <c r="U62">
        <v>48172180</v>
      </c>
    </row>
    <row r="63" spans="2:25">
      <c r="B63">
        <v>3058</v>
      </c>
      <c r="C63">
        <v>1670</v>
      </c>
      <c r="H63">
        <v>1156</v>
      </c>
      <c r="I63">
        <v>476</v>
      </c>
      <c r="N63">
        <v>53427744</v>
      </c>
      <c r="O63">
        <v>48828908</v>
      </c>
      <c r="T63">
        <v>48172180</v>
      </c>
      <c r="U63">
        <v>48172180</v>
      </c>
    </row>
    <row r="64" spans="2:25">
      <c r="B64">
        <v>3060</v>
      </c>
      <c r="C64">
        <v>1651</v>
      </c>
      <c r="H64">
        <v>1147</v>
      </c>
      <c r="I64">
        <v>489</v>
      </c>
      <c r="N64">
        <v>53427744</v>
      </c>
      <c r="O64">
        <v>49485608</v>
      </c>
      <c r="T64">
        <v>48172180</v>
      </c>
      <c r="U64">
        <v>48172180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5965</v>
      </c>
      <c r="C68">
        <v>3624</v>
      </c>
      <c r="H68">
        <v>2750</v>
      </c>
      <c r="I68">
        <v>714</v>
      </c>
    </row>
    <row r="69" spans="2:13">
      <c r="B69">
        <v>5940</v>
      </c>
      <c r="C69">
        <v>3559</v>
      </c>
      <c r="H69">
        <v>2768</v>
      </c>
      <c r="I69">
        <v>698</v>
      </c>
    </row>
    <row r="70" spans="2:13">
      <c r="B70">
        <v>5930</v>
      </c>
      <c r="C70">
        <v>3562</v>
      </c>
      <c r="H70">
        <v>2764</v>
      </c>
      <c r="I70">
        <v>690</v>
      </c>
    </row>
    <row r="71" spans="2:13">
      <c r="B71">
        <v>5964</v>
      </c>
      <c r="C71">
        <v>3623</v>
      </c>
      <c r="H71">
        <v>2754</v>
      </c>
      <c r="I71">
        <v>699</v>
      </c>
    </row>
    <row r="72" spans="2:13">
      <c r="B72">
        <v>6002</v>
      </c>
      <c r="C72">
        <v>3568</v>
      </c>
      <c r="H72">
        <v>2706</v>
      </c>
      <c r="I72">
        <v>707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52</v>
      </c>
    </row>
    <row r="37" spans="2:17">
      <c r="B37" t="s">
        <v>2</v>
      </c>
      <c r="C37" t="s">
        <v>53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AVERAGE(Table97[Newtonsoft])</f>
        <v>76969.399999999994</v>
      </c>
      <c r="D38" s="2">
        <f>AVERAGE(Table97[Revenj])</f>
        <v>75168.2</v>
      </c>
      <c r="E38" s="2" t="e">
        <f>AVERAGE(Table97[fastJSON])</f>
        <v>#DIV/0!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8513</v>
      </c>
      <c r="J38" s="2">
        <f>AVERAGE(Table97[DSL Platform Java])</f>
        <v>8513.4</v>
      </c>
      <c r="K38" s="2" t="e">
        <f>AVERAGE(Table97[Genson])</f>
        <v>#DIV/0!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>
      <c r="B39" t="s">
        <v>0</v>
      </c>
      <c r="C39" s="2">
        <f>AVERAGE(Table96[Newtonsoft]) - C38</f>
        <v>230327.80000000002</v>
      </c>
      <c r="D39" s="2">
        <f>AVERAGE(Table96[Revenj]) - D38</f>
        <v>80766.000000000015</v>
      </c>
      <c r="E39" s="2" t="e">
        <f>AVERAGE(Table96[fastJSON]) - E38</f>
        <v>#DIV/0!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57569.399999999994</v>
      </c>
      <c r="J39" s="2">
        <f>AVERAGE(Table96[DSL Platform Java]) - J38</f>
        <v>21354.6</v>
      </c>
      <c r="K39" s="2" t="e">
        <f>AVERAGE(Table96[Genson]) - K38</f>
        <v>#DIV/0!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273175.99999999988</v>
      </c>
      <c r="D40" s="2">
        <f t="shared" si="0"/>
        <v>199852.39999999997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100950.39999999999</v>
      </c>
      <c r="J40" s="2">
        <f t="shared" ref="J40" si="3">J41 - J39 - J38</f>
        <v>21679.599999999999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25</v>
      </c>
      <c r="C41" s="2">
        <f>AVERAGE(Table98[Newtonsoft])</f>
        <v>580473.19999999995</v>
      </c>
      <c r="D41" s="2">
        <f>AVERAGE(Table98[Revenj])</f>
        <v>355786.6</v>
      </c>
      <c r="E41" s="2" t="e">
        <f>AVERAGE(Table98[fastJSON])</f>
        <v>#DIV/0!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167032.79999999999</v>
      </c>
      <c r="J41" s="2">
        <f>AVERAGE(Table98[DSL Platform Java])</f>
        <v>51547.6</v>
      </c>
      <c r="K41" s="2" t="e">
        <f>AVERAGE(Table98[Genson])</f>
        <v>#DIV/0!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>
      <c r="B42" t="s">
        <v>4</v>
      </c>
      <c r="C42" s="3">
        <f>AVERAGE(Table96[Newtonsoft (size)])</f>
        <v>9797315916</v>
      </c>
      <c r="D42" s="3">
        <f>AVERAGE(Table96[Revenj (size)])</f>
        <v>9490545095</v>
      </c>
      <c r="E42" s="3" t="e">
        <f>AVERAGE(Table96[fastJSON (size)])</f>
        <v>#DIV/0!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9388310815</v>
      </c>
      <c r="J42" s="2">
        <f>AVERAGE(Table96[DSL Platform Java (size)])</f>
        <v>9388310815</v>
      </c>
      <c r="K42" s="2" t="e">
        <f>AVERAGE(Table96[Genson (size)])</f>
        <v>#DIV/0!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DEVSQ(Table96[Newtonsoft])</f>
        <v>91240730.800000012</v>
      </c>
      <c r="D47" s="2">
        <f>DEVSQ(Table96[Revenj])</f>
        <v>13605010.799999999</v>
      </c>
      <c r="E47" s="2" t="e">
        <f>DEVSQ(Table96[fastJSON])</f>
        <v>#NUM!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9231473.2000000011</v>
      </c>
      <c r="J47" s="2">
        <f>DEVSQ(Table96[DSL Platform Java])</f>
        <v>164830</v>
      </c>
      <c r="K47" s="2" t="e">
        <f>DEVSQ(Table96[Genson])</f>
        <v>#NUM!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>
      <c r="B48" t="s">
        <v>25</v>
      </c>
      <c r="C48" s="2">
        <f>DEVSQ(Table98[Newtonsoft])</f>
        <v>134702732.80000001</v>
      </c>
      <c r="D48" s="2">
        <f>DEVSQ(Table98[Revenj])</f>
        <v>37295289.200000003</v>
      </c>
      <c r="E48" s="2" t="e">
        <f>DEVSQ(Table98[fastJSON])</f>
        <v>#NUM!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46252258.799999997</v>
      </c>
      <c r="J48" s="2">
        <f>DEVSQ(Table98[DSL Platform Java])</f>
        <v>10311.200000000001</v>
      </c>
      <c r="K48" s="2" t="e">
        <f>DEVSQ(Table98[Genson])</f>
        <v>#NUM!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77799</v>
      </c>
      <c r="C52">
        <v>75079</v>
      </c>
      <c r="H52">
        <v>8539</v>
      </c>
      <c r="I52">
        <v>8473</v>
      </c>
    </row>
    <row r="53" spans="2:25">
      <c r="B53">
        <v>76236</v>
      </c>
      <c r="C53">
        <v>76137</v>
      </c>
      <c r="H53">
        <v>8500</v>
      </c>
      <c r="I53">
        <v>8627</v>
      </c>
    </row>
    <row r="54" spans="2:25">
      <c r="B54">
        <v>76438</v>
      </c>
      <c r="C54">
        <v>73870</v>
      </c>
      <c r="H54">
        <v>8481</v>
      </c>
      <c r="I54">
        <v>8576</v>
      </c>
    </row>
    <row r="55" spans="2:25">
      <c r="B55">
        <v>76484</v>
      </c>
      <c r="C55">
        <v>75917</v>
      </c>
      <c r="H55">
        <v>8442</v>
      </c>
      <c r="I55">
        <v>8399</v>
      </c>
    </row>
    <row r="56" spans="2:25">
      <c r="B56">
        <v>77890</v>
      </c>
      <c r="C56">
        <v>74838</v>
      </c>
      <c r="H56">
        <v>8603</v>
      </c>
      <c r="I56">
        <v>8492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307195</v>
      </c>
      <c r="C60">
        <v>157912</v>
      </c>
      <c r="H60">
        <v>64601</v>
      </c>
      <c r="I60">
        <v>29674</v>
      </c>
      <c r="N60">
        <v>9797315916</v>
      </c>
      <c r="O60">
        <v>9490545095</v>
      </c>
      <c r="T60">
        <v>9388310815</v>
      </c>
      <c r="U60">
        <v>9388310815</v>
      </c>
    </row>
    <row r="61" spans="2:25">
      <c r="B61">
        <v>307654</v>
      </c>
      <c r="C61">
        <v>155485</v>
      </c>
      <c r="H61">
        <v>67800</v>
      </c>
      <c r="I61">
        <v>29678</v>
      </c>
      <c r="N61">
        <v>9797315916</v>
      </c>
      <c r="O61">
        <v>9490545095</v>
      </c>
      <c r="T61">
        <v>9388310815</v>
      </c>
      <c r="U61">
        <v>9388310815</v>
      </c>
    </row>
    <row r="62" spans="2:25">
      <c r="B62">
        <v>303140</v>
      </c>
      <c r="C62">
        <v>153043</v>
      </c>
      <c r="H62">
        <v>64374</v>
      </c>
      <c r="I62">
        <v>30007</v>
      </c>
      <c r="N62">
        <v>9797315916</v>
      </c>
      <c r="O62">
        <v>9490545095</v>
      </c>
      <c r="T62">
        <v>9388310815</v>
      </c>
      <c r="U62">
        <v>9388310815</v>
      </c>
    </row>
    <row r="63" spans="2:25">
      <c r="B63">
        <v>315002</v>
      </c>
      <c r="C63">
        <v>156935</v>
      </c>
      <c r="H63">
        <v>67024</v>
      </c>
      <c r="I63">
        <v>30135</v>
      </c>
      <c r="N63">
        <v>9797315916</v>
      </c>
      <c r="O63">
        <v>9490545095</v>
      </c>
      <c r="T63">
        <v>9388310815</v>
      </c>
      <c r="U63">
        <v>9388310815</v>
      </c>
    </row>
    <row r="64" spans="2:25">
      <c r="B64">
        <v>303495</v>
      </c>
      <c r="C64">
        <v>156296</v>
      </c>
      <c r="H64">
        <v>66613</v>
      </c>
      <c r="I64">
        <v>29846</v>
      </c>
      <c r="N64">
        <v>9797315916</v>
      </c>
      <c r="O64">
        <v>9490545095</v>
      </c>
      <c r="T64">
        <v>9388310815</v>
      </c>
      <c r="U64">
        <v>9388310815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583152</v>
      </c>
      <c r="C68">
        <v>352190</v>
      </c>
      <c r="H68">
        <v>163368</v>
      </c>
      <c r="I68">
        <v>51485</v>
      </c>
    </row>
    <row r="69" spans="2:13">
      <c r="B69">
        <v>575904</v>
      </c>
      <c r="C69">
        <v>358582</v>
      </c>
      <c r="H69">
        <v>169101</v>
      </c>
      <c r="I69">
        <v>51507</v>
      </c>
    </row>
    <row r="70" spans="2:13">
      <c r="B70">
        <v>580264</v>
      </c>
      <c r="C70">
        <v>358101</v>
      </c>
      <c r="H70">
        <v>165820</v>
      </c>
      <c r="I70">
        <v>51599</v>
      </c>
    </row>
    <row r="71" spans="2:13">
      <c r="B71">
        <v>574298</v>
      </c>
      <c r="C71">
        <v>357271</v>
      </c>
      <c r="H71">
        <v>171838</v>
      </c>
      <c r="I71">
        <v>51593</v>
      </c>
    </row>
    <row r="72" spans="2:13">
      <c r="B72">
        <v>588748</v>
      </c>
      <c r="C72">
        <v>352789</v>
      </c>
      <c r="H72">
        <v>165037</v>
      </c>
      <c r="I72">
        <v>51554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36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AVERAGE(Table17[Newtonsoft])</f>
        <v>264</v>
      </c>
      <c r="D38" s="2">
        <f>AVERAGE(Table17[Revenj])</f>
        <v>275.39999999999998</v>
      </c>
      <c r="E38" s="2">
        <f>AVERAGE(Table17[fastJSON])</f>
        <v>264.2</v>
      </c>
      <c r="F38" s="2">
        <f>AVERAGE(Table17[Service Stack])</f>
        <v>263.39999999999998</v>
      </c>
      <c r="G38" s="2">
        <f>AVERAGE(Table17[Jil])</f>
        <v>260</v>
      </c>
      <c r="H38" s="2">
        <f>AVERAGE(Table17[NetJSON])</f>
        <v>267</v>
      </c>
      <c r="I38" s="2">
        <f>AVERAGE(Table17[Jackson])</f>
        <v>50.4</v>
      </c>
      <c r="J38" s="2">
        <f>AVERAGE(Table17[DSL Platform Java])</f>
        <v>54</v>
      </c>
      <c r="K38" s="2">
        <f>AVERAGE(Table17[Genson])</f>
        <v>48.8</v>
      </c>
      <c r="L38" s="2">
        <f>AVERAGE(Table17[Boon])</f>
        <v>52.8</v>
      </c>
      <c r="M38" s="2">
        <f>AVERAGE(Table17[Alibaba])</f>
        <v>51.6</v>
      </c>
      <c r="N38" s="2">
        <f>AVERAGE(Table17[Gson])</f>
        <v>55.6</v>
      </c>
      <c r="O38" s="2"/>
      <c r="P38" s="2"/>
      <c r="Q38" s="2"/>
    </row>
    <row r="39" spans="2:17">
      <c r="B39" t="s">
        <v>0</v>
      </c>
      <c r="C39" s="2">
        <f>AVERAGE(Table16[Newtonsoft]) - C38</f>
        <v>393.6</v>
      </c>
      <c r="D39" s="2">
        <f>AVERAGE(Table16[Revenj]) - D38</f>
        <v>106.80000000000001</v>
      </c>
      <c r="E39" s="2">
        <f>AVERAGE(Table16[fastJSON]) - E38</f>
        <v>288.8</v>
      </c>
      <c r="F39" s="2">
        <f>AVERAGE(Table16[Service Stack]) - F38</f>
        <v>467.6</v>
      </c>
      <c r="G39" s="2">
        <f>AVERAGE(Table16[Jil]) - G38</f>
        <v>584.79999999999995</v>
      </c>
      <c r="H39" s="2">
        <f>AVERAGE(Table16[NetJSON]) - H38</f>
        <v>185.60000000000002</v>
      </c>
      <c r="I39" s="2">
        <f>AVERAGE(Table16[Jackson]) - I38</f>
        <v>305.40000000000003</v>
      </c>
      <c r="J39" s="2">
        <f>AVERAGE(Table16[DSL Platform Java]) - J38</f>
        <v>27.799999999999997</v>
      </c>
      <c r="K39" s="2">
        <f>AVERAGE(Table16[Genson]) - K38</f>
        <v>661.40000000000009</v>
      </c>
      <c r="L39" s="2">
        <f>AVERAGE(Table16[Boon]) - L38</f>
        <v>303.8</v>
      </c>
      <c r="M39" s="2">
        <f>AVERAGE(Table16[Alibaba]) - M38</f>
        <v>303.59999999999997</v>
      </c>
      <c r="N39" s="2">
        <f>AVERAGE(Table16[Gson]) - N38</f>
        <v>276.79999999999995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600.80000000000007</v>
      </c>
      <c r="D40" s="2">
        <f t="shared" si="0"/>
        <v>265.60000000000002</v>
      </c>
      <c r="E40" s="2">
        <f t="shared" ref="E40" si="1">E41 - E39 - E38</f>
        <v>471.59999999999997</v>
      </c>
      <c r="F40" s="2">
        <f t="shared" si="0"/>
        <v>533.40000000000009</v>
      </c>
      <c r="G40" s="2">
        <f t="shared" si="0"/>
        <v>292.40000000000009</v>
      </c>
      <c r="H40" s="2">
        <f t="shared" si="0"/>
        <v>185</v>
      </c>
      <c r="I40" s="2">
        <f t="shared" ref="I40" si="2">I41 - I39 - I38</f>
        <v>317.40000000000003</v>
      </c>
      <c r="J40" s="2">
        <f t="shared" ref="J40" si="3">J41 - J39 - J38</f>
        <v>80.600000000000023</v>
      </c>
      <c r="K40" s="2">
        <f t="shared" ref="K40:L40" si="4">K41 - K39 - K38</f>
        <v>662.8</v>
      </c>
      <c r="L40" s="2">
        <f t="shared" si="4"/>
        <v>796.40000000000009</v>
      </c>
      <c r="M40" s="2">
        <f t="shared" ref="M40" si="5">M41 - M39 - M38</f>
        <v>222.00000000000009</v>
      </c>
      <c r="N40" s="2">
        <f t="shared" ref="N40" si="6">N41 - N39 - N38</f>
        <v>244.20000000000007</v>
      </c>
      <c r="O40" s="2"/>
      <c r="P40" s="2"/>
      <c r="Q40" s="2"/>
    </row>
    <row r="41" spans="2:17">
      <c r="B41" t="s">
        <v>25</v>
      </c>
      <c r="C41" s="2">
        <f>AVERAGE(Table18[Newtonsoft])</f>
        <v>1258.4000000000001</v>
      </c>
      <c r="D41" s="2">
        <f>AVERAGE(Table18[Revenj])</f>
        <v>647.79999999999995</v>
      </c>
      <c r="E41" s="2">
        <f>AVERAGE(Table18[fastJSON])</f>
        <v>1024.5999999999999</v>
      </c>
      <c r="F41" s="2">
        <f>AVERAGE(Table18[Service Stack])</f>
        <v>1264.4000000000001</v>
      </c>
      <c r="G41" s="2">
        <f>AVERAGE(Table18[Jil])</f>
        <v>1137.2</v>
      </c>
      <c r="H41" s="2">
        <f>AVERAGE(Table18[NetJSON])</f>
        <v>637.6</v>
      </c>
      <c r="I41" s="2">
        <f>AVERAGE(Table18[Jackson])</f>
        <v>673.2</v>
      </c>
      <c r="J41" s="2">
        <f>AVERAGE(Table18[DSL Platform Java])</f>
        <v>162.4</v>
      </c>
      <c r="K41" s="2">
        <f>AVERAGE(Table18[Genson])</f>
        <v>1373</v>
      </c>
      <c r="L41" s="2">
        <f>AVERAGE(Table18[Boon])</f>
        <v>1153</v>
      </c>
      <c r="M41" s="2">
        <f>AVERAGE(Table18[Alibaba])</f>
        <v>577.20000000000005</v>
      </c>
      <c r="N41" s="2">
        <f>AVERAGE(Table18[Gson])</f>
        <v>576.6</v>
      </c>
      <c r="O41" s="2"/>
      <c r="P41" s="2"/>
      <c r="Q41" s="2"/>
    </row>
    <row r="42" spans="2:17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AVERAGE(Table16[fastJSON (size)])</f>
        <v>4777780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4777768</v>
      </c>
      <c r="J42" s="2">
        <f>AVERAGE(Table16[DSL Platform Java (size)])</f>
        <v>4777768</v>
      </c>
      <c r="K42" s="2">
        <f>AVERAGE(Table16[Genson (size)])</f>
        <v>4777780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DEVSQ(Table16[Newtonsoft])</f>
        <v>521.20000000000005</v>
      </c>
      <c r="D47" s="2">
        <f>DEVSQ(Table16[Revenj])</f>
        <v>166.79999999999998</v>
      </c>
      <c r="E47" s="2">
        <f>DEVSQ(Table16[fastJSON])</f>
        <v>742</v>
      </c>
      <c r="F47" s="2">
        <f>DEVSQ(Table16[Service Stack])</f>
        <v>802</v>
      </c>
      <c r="G47" s="2">
        <f>DEVSQ(Table16[Jil])</f>
        <v>346.8</v>
      </c>
      <c r="H47" s="2">
        <f>DEVSQ(Table16[NetJSON])</f>
        <v>289.19999999999993</v>
      </c>
      <c r="I47" s="2">
        <f>DEVSQ(Table16[Jackson])</f>
        <v>2042.8000000000002</v>
      </c>
      <c r="J47" s="2">
        <f>DEVSQ(Table16[DSL Platform Java])</f>
        <v>38.799999999999997</v>
      </c>
      <c r="K47" s="2">
        <f>DEVSQ(Table16[Genson])</f>
        <v>110.80000000000001</v>
      </c>
      <c r="L47" s="2">
        <f>DEVSQ(Table16[Boon])</f>
        <v>621.19999999999993</v>
      </c>
      <c r="M47" s="2">
        <f>DEVSQ(Table16[Alibaba])</f>
        <v>198.79999999999998</v>
      </c>
      <c r="N47" s="2">
        <f>DEVSQ(Table16[Gson])</f>
        <v>5.2</v>
      </c>
      <c r="O47" s="2"/>
      <c r="P47" s="2"/>
      <c r="Q47" s="2"/>
    </row>
    <row r="48" spans="2:17">
      <c r="B48" t="s">
        <v>25</v>
      </c>
      <c r="C48" s="2">
        <f>DEVSQ(Table18[Newtonsoft])</f>
        <v>739.2</v>
      </c>
      <c r="D48" s="2">
        <f>DEVSQ(Table18[Revenj])</f>
        <v>878.79999999999973</v>
      </c>
      <c r="E48" s="2">
        <f>DEVSQ(Table18[fastJSON])</f>
        <v>303.2</v>
      </c>
      <c r="F48" s="2">
        <f>DEVSQ(Table18[Service Stack])</f>
        <v>1837.2</v>
      </c>
      <c r="G48" s="2">
        <f>DEVSQ(Table18[Jil])</f>
        <v>1992.7999999999997</v>
      </c>
      <c r="H48" s="2">
        <f>DEVSQ(Table18[NetJSON])</f>
        <v>331.19999999999993</v>
      </c>
      <c r="I48" s="2">
        <f>DEVSQ(Table18[Jackson])</f>
        <v>28530.800000000003</v>
      </c>
      <c r="J48" s="2">
        <f>DEVSQ(Table18[DSL Platform Java])</f>
        <v>11.2</v>
      </c>
      <c r="K48" s="2">
        <f>DEVSQ(Table18[Genson])</f>
        <v>2170</v>
      </c>
      <c r="L48" s="2">
        <f>DEVSQ(Table18[Boon])</f>
        <v>2806</v>
      </c>
      <c r="M48" s="2">
        <f>DEVSQ(Table18[Alibaba])</f>
        <v>88.800000000000011</v>
      </c>
      <c r="N48" s="2">
        <f>DEVSQ(Table18[Gson])</f>
        <v>1993.2000000000005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264</v>
      </c>
      <c r="C52">
        <v>275</v>
      </c>
      <c r="D52">
        <v>264</v>
      </c>
      <c r="E52">
        <v>273</v>
      </c>
      <c r="F52">
        <v>258</v>
      </c>
      <c r="G52">
        <v>273</v>
      </c>
      <c r="H52">
        <v>50</v>
      </c>
      <c r="I52">
        <v>55</v>
      </c>
      <c r="J52">
        <v>49</v>
      </c>
      <c r="K52">
        <v>47</v>
      </c>
      <c r="L52">
        <v>52</v>
      </c>
      <c r="M52">
        <v>54</v>
      </c>
    </row>
    <row r="53" spans="2:25">
      <c r="B53">
        <v>261</v>
      </c>
      <c r="C53">
        <v>267</v>
      </c>
      <c r="D53">
        <v>269</v>
      </c>
      <c r="E53">
        <v>258</v>
      </c>
      <c r="F53">
        <v>258</v>
      </c>
      <c r="G53">
        <v>262</v>
      </c>
      <c r="H53">
        <v>55</v>
      </c>
      <c r="I53">
        <v>50</v>
      </c>
      <c r="J53">
        <v>49</v>
      </c>
      <c r="K53">
        <v>51</v>
      </c>
      <c r="L53">
        <v>57</v>
      </c>
      <c r="M53">
        <v>56</v>
      </c>
    </row>
    <row r="54" spans="2:25">
      <c r="B54">
        <v>268</v>
      </c>
      <c r="C54">
        <v>279</v>
      </c>
      <c r="D54">
        <v>259</v>
      </c>
      <c r="E54">
        <v>265</v>
      </c>
      <c r="F54">
        <v>261</v>
      </c>
      <c r="G54">
        <v>269</v>
      </c>
      <c r="H54">
        <v>48</v>
      </c>
      <c r="I54">
        <v>57</v>
      </c>
      <c r="J54">
        <v>49</v>
      </c>
      <c r="K54">
        <v>55</v>
      </c>
      <c r="L54">
        <v>49</v>
      </c>
      <c r="M54">
        <v>56</v>
      </c>
    </row>
    <row r="55" spans="2:25">
      <c r="B55">
        <v>263</v>
      </c>
      <c r="C55">
        <v>282</v>
      </c>
      <c r="D55">
        <v>266</v>
      </c>
      <c r="E55">
        <v>259</v>
      </c>
      <c r="F55">
        <v>263</v>
      </c>
      <c r="G55">
        <v>263</v>
      </c>
      <c r="H55">
        <v>49</v>
      </c>
      <c r="I55">
        <v>57</v>
      </c>
      <c r="J55">
        <v>49</v>
      </c>
      <c r="K55">
        <v>54</v>
      </c>
      <c r="L55">
        <v>51</v>
      </c>
      <c r="M55">
        <v>63</v>
      </c>
    </row>
    <row r="56" spans="2:25">
      <c r="B56">
        <v>264</v>
      </c>
      <c r="C56">
        <v>274</v>
      </c>
      <c r="D56">
        <v>263</v>
      </c>
      <c r="E56">
        <v>262</v>
      </c>
      <c r="F56">
        <v>260</v>
      </c>
      <c r="G56">
        <v>268</v>
      </c>
      <c r="H56">
        <v>50</v>
      </c>
      <c r="I56">
        <v>51</v>
      </c>
      <c r="J56">
        <v>48</v>
      </c>
      <c r="K56">
        <v>57</v>
      </c>
      <c r="L56">
        <v>49</v>
      </c>
      <c r="M56">
        <v>49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657</v>
      </c>
      <c r="C60">
        <v>389</v>
      </c>
      <c r="D60">
        <v>549</v>
      </c>
      <c r="E60">
        <v>736</v>
      </c>
      <c r="F60">
        <v>858</v>
      </c>
      <c r="G60">
        <v>446</v>
      </c>
      <c r="H60">
        <v>344</v>
      </c>
      <c r="I60">
        <v>81</v>
      </c>
      <c r="J60">
        <v>718</v>
      </c>
      <c r="K60">
        <v>359</v>
      </c>
      <c r="L60">
        <v>360</v>
      </c>
      <c r="M60">
        <v>333</v>
      </c>
      <c r="N60">
        <v>4777780</v>
      </c>
      <c r="O60">
        <v>4777768</v>
      </c>
      <c r="P60">
        <v>4777780</v>
      </c>
      <c r="Q60">
        <v>4777780</v>
      </c>
      <c r="R60">
        <v>4777780</v>
      </c>
      <c r="S60">
        <v>4777768</v>
      </c>
      <c r="T60">
        <v>4777768</v>
      </c>
      <c r="U60">
        <v>4777768</v>
      </c>
      <c r="V60">
        <v>4777780</v>
      </c>
      <c r="W60">
        <v>4777768</v>
      </c>
      <c r="X60">
        <v>4777780</v>
      </c>
      <c r="Y60">
        <v>4777780</v>
      </c>
    </row>
    <row r="61" spans="2:25">
      <c r="B61">
        <v>664</v>
      </c>
      <c r="C61">
        <v>372</v>
      </c>
      <c r="D61">
        <v>545</v>
      </c>
      <c r="E61">
        <v>731</v>
      </c>
      <c r="F61">
        <v>834</v>
      </c>
      <c r="G61">
        <v>467</v>
      </c>
      <c r="H61">
        <v>347</v>
      </c>
      <c r="I61">
        <v>79</v>
      </c>
      <c r="J61">
        <v>705</v>
      </c>
      <c r="K61">
        <v>376</v>
      </c>
      <c r="L61">
        <v>343</v>
      </c>
      <c r="M61">
        <v>332</v>
      </c>
      <c r="N61">
        <v>4777780</v>
      </c>
      <c r="O61">
        <v>4777768</v>
      </c>
      <c r="P61">
        <v>4777780</v>
      </c>
      <c r="Q61">
        <v>4777780</v>
      </c>
      <c r="R61">
        <v>4777780</v>
      </c>
      <c r="S61">
        <v>4777768</v>
      </c>
      <c r="T61">
        <v>4777768</v>
      </c>
      <c r="U61">
        <v>4777768</v>
      </c>
      <c r="V61">
        <v>4777780</v>
      </c>
      <c r="W61">
        <v>4777768</v>
      </c>
      <c r="X61">
        <v>4777780</v>
      </c>
      <c r="Y61">
        <v>4777780</v>
      </c>
    </row>
    <row r="62" spans="2:25">
      <c r="B62">
        <v>644</v>
      </c>
      <c r="C62">
        <v>383</v>
      </c>
      <c r="D62">
        <v>574</v>
      </c>
      <c r="E62">
        <v>750</v>
      </c>
      <c r="F62">
        <v>841</v>
      </c>
      <c r="G62">
        <v>453</v>
      </c>
      <c r="H62">
        <v>396</v>
      </c>
      <c r="I62">
        <v>87</v>
      </c>
      <c r="J62">
        <v>708</v>
      </c>
      <c r="K62">
        <v>342</v>
      </c>
      <c r="L62">
        <v>356</v>
      </c>
      <c r="M62">
        <v>334</v>
      </c>
      <c r="N62">
        <v>4777780</v>
      </c>
      <c r="O62">
        <v>4777768</v>
      </c>
      <c r="P62">
        <v>4777780</v>
      </c>
      <c r="Q62">
        <v>4777780</v>
      </c>
      <c r="R62">
        <v>4777780</v>
      </c>
      <c r="S62">
        <v>4777768</v>
      </c>
      <c r="T62">
        <v>4777768</v>
      </c>
      <c r="U62">
        <v>4777768</v>
      </c>
      <c r="V62">
        <v>4777780</v>
      </c>
      <c r="W62">
        <v>4777768</v>
      </c>
      <c r="X62">
        <v>4777780</v>
      </c>
      <c r="Y62">
        <v>4777780</v>
      </c>
    </row>
    <row r="63" spans="2:25">
      <c r="B63">
        <v>650</v>
      </c>
      <c r="C63">
        <v>381</v>
      </c>
      <c r="D63">
        <v>558</v>
      </c>
      <c r="E63">
        <v>727</v>
      </c>
      <c r="F63">
        <v>841</v>
      </c>
      <c r="G63">
        <v>447</v>
      </c>
      <c r="H63">
        <v>349</v>
      </c>
      <c r="I63">
        <v>82</v>
      </c>
      <c r="J63">
        <v>713</v>
      </c>
      <c r="K63">
        <v>353</v>
      </c>
      <c r="L63">
        <v>360</v>
      </c>
      <c r="M63">
        <v>332</v>
      </c>
      <c r="N63">
        <v>4777780</v>
      </c>
      <c r="O63">
        <v>4777768</v>
      </c>
      <c r="P63">
        <v>4777780</v>
      </c>
      <c r="Q63">
        <v>4777780</v>
      </c>
      <c r="R63">
        <v>4777780</v>
      </c>
      <c r="S63">
        <v>4777768</v>
      </c>
      <c r="T63">
        <v>4777768</v>
      </c>
      <c r="U63">
        <v>4777768</v>
      </c>
      <c r="V63">
        <v>4777780</v>
      </c>
      <c r="W63">
        <v>4777768</v>
      </c>
      <c r="X63">
        <v>4777780</v>
      </c>
      <c r="Y63">
        <v>4777780</v>
      </c>
    </row>
    <row r="64" spans="2:25">
      <c r="B64">
        <v>673</v>
      </c>
      <c r="C64">
        <v>386</v>
      </c>
      <c r="D64">
        <v>539</v>
      </c>
      <c r="E64">
        <v>711</v>
      </c>
      <c r="F64">
        <v>850</v>
      </c>
      <c r="G64">
        <v>450</v>
      </c>
      <c r="H64">
        <v>343</v>
      </c>
      <c r="I64">
        <v>80</v>
      </c>
      <c r="J64">
        <v>707</v>
      </c>
      <c r="K64">
        <v>353</v>
      </c>
      <c r="L64">
        <v>357</v>
      </c>
      <c r="M64">
        <v>331</v>
      </c>
      <c r="N64">
        <v>4777780</v>
      </c>
      <c r="O64">
        <v>4777768</v>
      </c>
      <c r="P64">
        <v>4777780</v>
      </c>
      <c r="Q64">
        <v>4777780</v>
      </c>
      <c r="R64">
        <v>4777780</v>
      </c>
      <c r="S64">
        <v>4777768</v>
      </c>
      <c r="T64">
        <v>4777768</v>
      </c>
      <c r="U64">
        <v>4777768</v>
      </c>
      <c r="V64">
        <v>4777780</v>
      </c>
      <c r="W64">
        <v>4777768</v>
      </c>
      <c r="X64">
        <v>4777780</v>
      </c>
      <c r="Y64">
        <v>4777780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1238</v>
      </c>
      <c r="C68">
        <v>647</v>
      </c>
      <c r="D68">
        <v>1022</v>
      </c>
      <c r="E68">
        <v>1272</v>
      </c>
      <c r="F68">
        <v>1142</v>
      </c>
      <c r="G68">
        <v>628</v>
      </c>
      <c r="H68">
        <v>773</v>
      </c>
      <c r="I68">
        <v>162</v>
      </c>
      <c r="J68">
        <v>1408</v>
      </c>
      <c r="K68">
        <v>1158</v>
      </c>
      <c r="L68">
        <v>585</v>
      </c>
      <c r="M68">
        <v>569</v>
      </c>
    </row>
    <row r="69" spans="2:13">
      <c r="B69">
        <v>1275</v>
      </c>
      <c r="C69">
        <v>625</v>
      </c>
      <c r="D69">
        <v>1020</v>
      </c>
      <c r="E69">
        <v>1262</v>
      </c>
      <c r="F69">
        <v>1121</v>
      </c>
      <c r="G69">
        <v>650</v>
      </c>
      <c r="H69">
        <v>758</v>
      </c>
      <c r="I69">
        <v>164</v>
      </c>
      <c r="J69">
        <v>1355</v>
      </c>
      <c r="K69">
        <v>1130</v>
      </c>
      <c r="L69">
        <v>577</v>
      </c>
      <c r="M69">
        <v>612</v>
      </c>
    </row>
    <row r="70" spans="2:13">
      <c r="B70">
        <v>1265</v>
      </c>
      <c r="C70">
        <v>645</v>
      </c>
      <c r="D70">
        <v>1035</v>
      </c>
      <c r="E70">
        <v>1296</v>
      </c>
      <c r="F70">
        <v>1165</v>
      </c>
      <c r="G70">
        <v>634</v>
      </c>
      <c r="H70">
        <v>614</v>
      </c>
      <c r="I70">
        <v>164</v>
      </c>
      <c r="J70">
        <v>1386</v>
      </c>
      <c r="K70">
        <v>1151</v>
      </c>
      <c r="L70">
        <v>574</v>
      </c>
      <c r="M70">
        <v>569</v>
      </c>
    </row>
    <row r="71" spans="2:13">
      <c r="B71">
        <v>1257</v>
      </c>
      <c r="C71">
        <v>660</v>
      </c>
      <c r="D71">
        <v>1032</v>
      </c>
      <c r="E71">
        <v>1253</v>
      </c>
      <c r="F71">
        <v>1109</v>
      </c>
      <c r="G71">
        <v>644</v>
      </c>
      <c r="H71">
        <v>613</v>
      </c>
      <c r="I71">
        <v>160</v>
      </c>
      <c r="J71">
        <v>1359</v>
      </c>
      <c r="K71">
        <v>1131</v>
      </c>
      <c r="L71">
        <v>573</v>
      </c>
      <c r="M71">
        <v>552</v>
      </c>
    </row>
    <row r="72" spans="2:13">
      <c r="B72">
        <v>1257</v>
      </c>
      <c r="C72">
        <v>662</v>
      </c>
      <c r="D72">
        <v>1014</v>
      </c>
      <c r="E72">
        <v>1239</v>
      </c>
      <c r="F72">
        <v>1149</v>
      </c>
      <c r="G72">
        <v>632</v>
      </c>
      <c r="H72">
        <v>608</v>
      </c>
      <c r="I72">
        <v>162</v>
      </c>
      <c r="J72">
        <v>1357</v>
      </c>
      <c r="K72">
        <v>1195</v>
      </c>
      <c r="L72">
        <v>577</v>
      </c>
      <c r="M72">
        <v>581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37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AVERAGE(Table22[Newtonsoft])</f>
        <v>1066</v>
      </c>
      <c r="D38" s="2">
        <f>AVERAGE(Table22[Revenj])</f>
        <v>1127</v>
      </c>
      <c r="E38" s="2">
        <f>AVERAGE(Table22[fastJSON])</f>
        <v>1046</v>
      </c>
      <c r="F38" s="2">
        <f>AVERAGE(Table22[Service Stack])</f>
        <v>1052.4000000000001</v>
      </c>
      <c r="G38" s="2">
        <f>AVERAGE(Table22[Jil])</f>
        <v>1078.4000000000001</v>
      </c>
      <c r="H38" s="2">
        <f>AVERAGE(Table22[NetJSON])</f>
        <v>1122.5999999999999</v>
      </c>
      <c r="I38" s="2">
        <f>AVERAGE(Table22[Jackson])</f>
        <v>147.6</v>
      </c>
      <c r="J38" s="2">
        <f>AVERAGE(Table22[DSL Platform Java])</f>
        <v>151.4</v>
      </c>
      <c r="K38" s="2">
        <f>AVERAGE(Table22[Genson])</f>
        <v>142.6</v>
      </c>
      <c r="L38" s="2">
        <f>AVERAGE(Table22[Boon])</f>
        <v>148.6</v>
      </c>
      <c r="M38" s="2">
        <f>AVERAGE(Table22[Alibaba])</f>
        <v>145.80000000000001</v>
      </c>
      <c r="N38" s="2">
        <f>AVERAGE(Table22[Gson])</f>
        <v>142.19999999999999</v>
      </c>
      <c r="O38" s="2"/>
      <c r="P38" s="2"/>
      <c r="Q38" s="2"/>
    </row>
    <row r="39" spans="2:17">
      <c r="B39" t="s">
        <v>0</v>
      </c>
      <c r="C39" s="2">
        <f>AVERAGE(Table21[Newtonsoft]) - C38</f>
        <v>3177</v>
      </c>
      <c r="D39" s="2">
        <f>AVERAGE(Table21[Revenj]) - D38</f>
        <v>1008.4000000000001</v>
      </c>
      <c r="E39" s="2">
        <f>AVERAGE(Table21[fastJSON]) - E38</f>
        <v>2779.6</v>
      </c>
      <c r="F39" s="2">
        <f>AVERAGE(Table21[Service Stack]) - F38</f>
        <v>3670.7999999999997</v>
      </c>
      <c r="G39" s="2">
        <f>AVERAGE(Table21[Jil]) - G38</f>
        <v>4219.3999999999996</v>
      </c>
      <c r="H39" s="2">
        <f>AVERAGE(Table21[NetJSON]) - H38</f>
        <v>1418.8000000000002</v>
      </c>
      <c r="I39" s="2">
        <f>AVERAGE(Table21[Jackson]) - I38</f>
        <v>662.6</v>
      </c>
      <c r="J39" s="2">
        <f>AVERAGE(Table21[DSL Platform Java]) - J38</f>
        <v>117.79999999999998</v>
      </c>
      <c r="K39" s="2">
        <f>AVERAGE(Table21[Genson]) - K38</f>
        <v>3803.2000000000003</v>
      </c>
      <c r="L39" s="2">
        <f>AVERAGE(Table21[Boon]) - L38</f>
        <v>852.4</v>
      </c>
      <c r="M39" s="2">
        <f>AVERAGE(Table21[Alibaba]) - M38</f>
        <v>707.59999999999991</v>
      </c>
      <c r="N39" s="2">
        <f>AVERAGE(Table21[Gson]) - N38</f>
        <v>1246.3999999999999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5699.7999999999993</v>
      </c>
      <c r="D40" s="2">
        <f t="shared" si="0"/>
        <v>2681.7999999999997</v>
      </c>
      <c r="E40" s="2">
        <f t="shared" ref="E40" si="1">E41 - E39 - E38</f>
        <v>4652.1999999999989</v>
      </c>
      <c r="F40" s="2">
        <f t="shared" si="0"/>
        <v>5192.2000000000007</v>
      </c>
      <c r="G40" s="2">
        <f t="shared" si="0"/>
        <v>2646.0000000000005</v>
      </c>
      <c r="H40" s="2">
        <f t="shared" si="0"/>
        <v>1890.2000000000003</v>
      </c>
      <c r="I40" s="2">
        <f t="shared" ref="I40" si="2">I41 - I39 - I38</f>
        <v>948.20000000000016</v>
      </c>
      <c r="J40" s="2">
        <f t="shared" ref="J40" si="3">J41 - J39 - J38</f>
        <v>271.20000000000005</v>
      </c>
      <c r="K40" s="2">
        <f t="shared" ref="K40:L40" si="4">K41 - K39 - K38</f>
        <v>3737.8</v>
      </c>
      <c r="L40" s="2">
        <f t="shared" si="4"/>
        <v>6046.8</v>
      </c>
      <c r="M40" s="2">
        <f t="shared" ref="M40" si="5">M41 - M39 - M38</f>
        <v>981.2</v>
      </c>
      <c r="N40" s="2">
        <f t="shared" ref="N40" si="6">N41 - N39 - N38</f>
        <v>1593.2000000000003</v>
      </c>
      <c r="O40" s="2"/>
      <c r="P40" s="2"/>
      <c r="Q40" s="2"/>
    </row>
    <row r="41" spans="2:17">
      <c r="B41" t="s">
        <v>25</v>
      </c>
      <c r="C41" s="2">
        <f>AVERAGE(Table23[Newtonsoft])</f>
        <v>9942.7999999999993</v>
      </c>
      <c r="D41" s="2">
        <f>AVERAGE(Table23[Revenj])</f>
        <v>4817.2</v>
      </c>
      <c r="E41" s="2">
        <f>AVERAGE(Table23[fastJSON])</f>
        <v>8477.7999999999993</v>
      </c>
      <c r="F41" s="2">
        <f>AVERAGE(Table23[Service Stack])</f>
        <v>9915.4</v>
      </c>
      <c r="G41" s="2">
        <f>AVERAGE(Table23[Jil])</f>
        <v>7943.8</v>
      </c>
      <c r="H41" s="2">
        <f>AVERAGE(Table23[NetJSON])</f>
        <v>4431.6000000000004</v>
      </c>
      <c r="I41" s="2">
        <f>AVERAGE(Table23[Jackson])</f>
        <v>1758.4</v>
      </c>
      <c r="J41" s="2">
        <f>AVERAGE(Table23[DSL Platform Java])</f>
        <v>540.4</v>
      </c>
      <c r="K41" s="2">
        <f>AVERAGE(Table23[Genson])</f>
        <v>7683.6</v>
      </c>
      <c r="L41" s="2">
        <f>AVERAGE(Table23[Boon])</f>
        <v>7047.8</v>
      </c>
      <c r="M41" s="2">
        <f>AVERAGE(Table23[Alibaba])</f>
        <v>1834.6</v>
      </c>
      <c r="N41" s="2">
        <f>AVERAGE(Table23[Gson])</f>
        <v>2981.8</v>
      </c>
      <c r="O41" s="2"/>
      <c r="P41" s="2"/>
      <c r="Q41" s="2"/>
    </row>
    <row r="42" spans="2:17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AVERAGE(Table21[fastJSON (size)])</f>
        <v>49777780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49777768</v>
      </c>
      <c r="J42" s="2">
        <f>AVERAGE(Table21[DSL Platform Java (size)])</f>
        <v>49777768</v>
      </c>
      <c r="K42" s="2">
        <f>AVERAGE(Table21[Genson (size)])</f>
        <v>49777780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DEVSQ(Table21[Newtonsoft])</f>
        <v>231592</v>
      </c>
      <c r="D47" s="2">
        <f>DEVSQ(Table21[Revenj])</f>
        <v>3787.2</v>
      </c>
      <c r="E47" s="2">
        <f>DEVSQ(Table21[fastJSON])</f>
        <v>17683.2</v>
      </c>
      <c r="F47" s="2">
        <f>DEVSQ(Table21[Service Stack])</f>
        <v>10230.799999999999</v>
      </c>
      <c r="G47" s="2">
        <f>DEVSQ(Table21[Jil])</f>
        <v>10590.799999999997</v>
      </c>
      <c r="H47" s="2">
        <f>DEVSQ(Table21[NetJSON])</f>
        <v>34261.199999999997</v>
      </c>
      <c r="I47" s="2">
        <f>DEVSQ(Table21[Jackson])</f>
        <v>3364.7999999999997</v>
      </c>
      <c r="J47" s="2">
        <f>DEVSQ(Table21[DSL Platform Java])</f>
        <v>350.8</v>
      </c>
      <c r="K47" s="2">
        <f>DEVSQ(Table21[Genson])</f>
        <v>113886.79999999999</v>
      </c>
      <c r="L47" s="2">
        <f>DEVSQ(Table21[Boon])</f>
        <v>1286</v>
      </c>
      <c r="M47" s="2">
        <f>DEVSQ(Table21[Alibaba])</f>
        <v>1069.1999999999998</v>
      </c>
      <c r="N47" s="2">
        <f>DEVSQ(Table21[Gson])</f>
        <v>6303.1999999999989</v>
      </c>
      <c r="O47" s="2"/>
      <c r="P47" s="2"/>
      <c r="Q47" s="2"/>
    </row>
    <row r="48" spans="2:17">
      <c r="B48" t="s">
        <v>25</v>
      </c>
      <c r="C48" s="2">
        <f>DEVSQ(Table23[Newtonsoft])</f>
        <v>222160.8</v>
      </c>
      <c r="D48" s="2">
        <f>DEVSQ(Table23[Revenj])</f>
        <v>52972.800000000003</v>
      </c>
      <c r="E48" s="2">
        <f>DEVSQ(Table23[fastJSON])</f>
        <v>100154.8</v>
      </c>
      <c r="F48" s="2">
        <f>DEVSQ(Table23[Service Stack])</f>
        <v>45379.199999999997</v>
      </c>
      <c r="G48" s="2">
        <f>DEVSQ(Table23[Jil])</f>
        <v>110812.79999999999</v>
      </c>
      <c r="H48" s="2">
        <f>DEVSQ(Table23[NetJSON])</f>
        <v>84691.200000000012</v>
      </c>
      <c r="I48" s="2">
        <f>DEVSQ(Table23[Jackson])</f>
        <v>18999.2</v>
      </c>
      <c r="J48" s="2">
        <f>DEVSQ(Table23[DSL Platform Java])</f>
        <v>4889.2000000000007</v>
      </c>
      <c r="K48" s="2">
        <f>DEVSQ(Table23[Genson])</f>
        <v>76565.2</v>
      </c>
      <c r="L48" s="2">
        <f>DEVSQ(Table23[Boon])</f>
        <v>233772.79999999999</v>
      </c>
      <c r="M48" s="2">
        <f>DEVSQ(Table23[Alibaba])</f>
        <v>15365.2</v>
      </c>
      <c r="N48" s="2">
        <f>DEVSQ(Table23[Gson])</f>
        <v>54972.800000000003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1000</v>
      </c>
      <c r="C52">
        <v>1098</v>
      </c>
      <c r="D52">
        <v>1012</v>
      </c>
      <c r="E52">
        <v>1081</v>
      </c>
      <c r="F52">
        <v>1012</v>
      </c>
      <c r="G52">
        <v>1107</v>
      </c>
      <c r="H52">
        <v>153</v>
      </c>
      <c r="I52">
        <v>155</v>
      </c>
      <c r="J52">
        <v>145</v>
      </c>
      <c r="K52">
        <v>151</v>
      </c>
      <c r="L52">
        <v>144</v>
      </c>
      <c r="M52">
        <v>146</v>
      </c>
    </row>
    <row r="53" spans="2:25">
      <c r="B53">
        <v>1055</v>
      </c>
      <c r="C53">
        <v>1125</v>
      </c>
      <c r="D53">
        <v>1140</v>
      </c>
      <c r="E53">
        <v>1072</v>
      </c>
      <c r="F53">
        <v>1075</v>
      </c>
      <c r="G53">
        <v>1069</v>
      </c>
      <c r="H53">
        <v>147</v>
      </c>
      <c r="I53">
        <v>155</v>
      </c>
      <c r="J53">
        <v>137</v>
      </c>
      <c r="K53">
        <v>151</v>
      </c>
      <c r="L53">
        <v>148</v>
      </c>
      <c r="M53">
        <v>140</v>
      </c>
    </row>
    <row r="54" spans="2:25">
      <c r="B54">
        <v>1108</v>
      </c>
      <c r="C54">
        <v>1142</v>
      </c>
      <c r="D54">
        <v>1025</v>
      </c>
      <c r="E54">
        <v>1022</v>
      </c>
      <c r="F54">
        <v>1160</v>
      </c>
      <c r="G54">
        <v>1117</v>
      </c>
      <c r="H54">
        <v>147</v>
      </c>
      <c r="I54">
        <v>159</v>
      </c>
      <c r="J54">
        <v>148</v>
      </c>
      <c r="K54">
        <v>142</v>
      </c>
      <c r="L54">
        <v>142</v>
      </c>
      <c r="M54">
        <v>139</v>
      </c>
    </row>
    <row r="55" spans="2:25">
      <c r="B55">
        <v>1075</v>
      </c>
      <c r="C55">
        <v>1116</v>
      </c>
      <c r="D55">
        <v>1016</v>
      </c>
      <c r="E55">
        <v>1041</v>
      </c>
      <c r="F55">
        <v>1058</v>
      </c>
      <c r="G55">
        <v>1196</v>
      </c>
      <c r="H55">
        <v>147</v>
      </c>
      <c r="I55">
        <v>147</v>
      </c>
      <c r="J55">
        <v>142</v>
      </c>
      <c r="K55">
        <v>142</v>
      </c>
      <c r="L55">
        <v>143</v>
      </c>
      <c r="M55">
        <v>145</v>
      </c>
    </row>
    <row r="56" spans="2:25">
      <c r="B56">
        <v>1092</v>
      </c>
      <c r="C56">
        <v>1154</v>
      </c>
      <c r="D56">
        <v>1037</v>
      </c>
      <c r="E56">
        <v>1046</v>
      </c>
      <c r="F56">
        <v>1087</v>
      </c>
      <c r="G56">
        <v>1124</v>
      </c>
      <c r="H56">
        <v>144</v>
      </c>
      <c r="I56">
        <v>141</v>
      </c>
      <c r="J56">
        <v>141</v>
      </c>
      <c r="K56">
        <v>157</v>
      </c>
      <c r="L56">
        <v>152</v>
      </c>
      <c r="M56">
        <v>141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4516</v>
      </c>
      <c r="C60">
        <v>2109</v>
      </c>
      <c r="D60">
        <v>3883</v>
      </c>
      <c r="E60">
        <v>4788</v>
      </c>
      <c r="F60">
        <v>5262</v>
      </c>
      <c r="G60">
        <v>2510</v>
      </c>
      <c r="H60">
        <v>782</v>
      </c>
      <c r="I60">
        <v>276</v>
      </c>
      <c r="J60">
        <v>3842</v>
      </c>
      <c r="K60">
        <v>1007</v>
      </c>
      <c r="L60">
        <v>833</v>
      </c>
      <c r="M60">
        <v>1424</v>
      </c>
      <c r="N60">
        <v>49777780</v>
      </c>
      <c r="O60">
        <v>49777768</v>
      </c>
      <c r="P60">
        <v>49777780</v>
      </c>
      <c r="Q60">
        <v>49777780</v>
      </c>
      <c r="R60">
        <v>49777780</v>
      </c>
      <c r="S60">
        <v>49777768</v>
      </c>
      <c r="T60">
        <v>49777768</v>
      </c>
      <c r="U60">
        <v>49777768</v>
      </c>
      <c r="V60">
        <v>49777780</v>
      </c>
      <c r="W60">
        <v>49777768</v>
      </c>
      <c r="X60">
        <v>49777780</v>
      </c>
      <c r="Y60">
        <v>49777780</v>
      </c>
    </row>
    <row r="61" spans="2:25">
      <c r="B61">
        <v>4152</v>
      </c>
      <c r="C61">
        <v>2165</v>
      </c>
      <c r="D61">
        <v>3807</v>
      </c>
      <c r="E61">
        <v>4728</v>
      </c>
      <c r="F61">
        <v>5381</v>
      </c>
      <c r="G61">
        <v>2605</v>
      </c>
      <c r="H61">
        <v>841</v>
      </c>
      <c r="I61">
        <v>260</v>
      </c>
      <c r="J61">
        <v>4087</v>
      </c>
      <c r="K61">
        <v>972</v>
      </c>
      <c r="L61">
        <v>843</v>
      </c>
      <c r="M61">
        <v>1359</v>
      </c>
      <c r="N61">
        <v>49777780</v>
      </c>
      <c r="O61">
        <v>49777768</v>
      </c>
      <c r="P61">
        <v>49777780</v>
      </c>
      <c r="Q61">
        <v>49777780</v>
      </c>
      <c r="R61">
        <v>49777780</v>
      </c>
      <c r="S61">
        <v>49777768</v>
      </c>
      <c r="T61">
        <v>49777768</v>
      </c>
      <c r="U61">
        <v>49777768</v>
      </c>
      <c r="V61">
        <v>49777780</v>
      </c>
      <c r="W61">
        <v>49777768</v>
      </c>
      <c r="X61">
        <v>49777780</v>
      </c>
      <c r="Y61">
        <v>49777780</v>
      </c>
    </row>
    <row r="62" spans="2:25">
      <c r="B62">
        <v>4478</v>
      </c>
      <c r="C62">
        <v>2139</v>
      </c>
      <c r="D62">
        <v>3903</v>
      </c>
      <c r="E62">
        <v>4752</v>
      </c>
      <c r="F62">
        <v>5297</v>
      </c>
      <c r="G62">
        <v>2627</v>
      </c>
      <c r="H62">
        <v>796</v>
      </c>
      <c r="I62">
        <v>263</v>
      </c>
      <c r="J62">
        <v>4020</v>
      </c>
      <c r="K62">
        <v>1021</v>
      </c>
      <c r="L62">
        <v>858</v>
      </c>
      <c r="M62">
        <v>1334</v>
      </c>
      <c r="N62">
        <v>49777780</v>
      </c>
      <c r="O62">
        <v>49777768</v>
      </c>
      <c r="P62">
        <v>49777780</v>
      </c>
      <c r="Q62">
        <v>49777780</v>
      </c>
      <c r="R62">
        <v>49777780</v>
      </c>
      <c r="S62">
        <v>49777768</v>
      </c>
      <c r="T62">
        <v>49777768</v>
      </c>
      <c r="U62">
        <v>49777768</v>
      </c>
      <c r="V62">
        <v>49777780</v>
      </c>
      <c r="W62">
        <v>49777768</v>
      </c>
      <c r="X62">
        <v>49777780</v>
      </c>
      <c r="Y62">
        <v>49777780</v>
      </c>
    </row>
    <row r="63" spans="2:25">
      <c r="B63">
        <v>4092</v>
      </c>
      <c r="C63">
        <v>2165</v>
      </c>
      <c r="D63">
        <v>3742</v>
      </c>
      <c r="E63">
        <v>4661</v>
      </c>
      <c r="F63">
        <v>5249</v>
      </c>
      <c r="G63">
        <v>2396</v>
      </c>
      <c r="H63">
        <v>842</v>
      </c>
      <c r="I63">
        <v>282</v>
      </c>
      <c r="J63">
        <v>4079</v>
      </c>
      <c r="K63">
        <v>1004</v>
      </c>
      <c r="L63">
        <v>857</v>
      </c>
      <c r="M63">
        <v>1412</v>
      </c>
      <c r="N63">
        <v>49777780</v>
      </c>
      <c r="O63">
        <v>49777768</v>
      </c>
      <c r="P63">
        <v>49777780</v>
      </c>
      <c r="Q63">
        <v>49777780</v>
      </c>
      <c r="R63">
        <v>49777780</v>
      </c>
      <c r="S63">
        <v>49777768</v>
      </c>
      <c r="T63">
        <v>49777768</v>
      </c>
      <c r="U63">
        <v>49777768</v>
      </c>
      <c r="V63">
        <v>49777780</v>
      </c>
      <c r="W63">
        <v>49777768</v>
      </c>
      <c r="X63">
        <v>49777780</v>
      </c>
      <c r="Y63">
        <v>49777780</v>
      </c>
    </row>
    <row r="64" spans="2:25">
      <c r="B64">
        <v>3977</v>
      </c>
      <c r="C64">
        <v>2099</v>
      </c>
      <c r="D64">
        <v>3793</v>
      </c>
      <c r="E64">
        <v>4687</v>
      </c>
      <c r="F64">
        <v>5300</v>
      </c>
      <c r="G64">
        <v>2569</v>
      </c>
      <c r="H64">
        <v>790</v>
      </c>
      <c r="I64">
        <v>265</v>
      </c>
      <c r="J64">
        <v>3701</v>
      </c>
      <c r="K64">
        <v>1001</v>
      </c>
      <c r="L64">
        <v>876</v>
      </c>
      <c r="M64">
        <v>1414</v>
      </c>
      <c r="N64">
        <v>49777780</v>
      </c>
      <c r="O64">
        <v>49777768</v>
      </c>
      <c r="P64">
        <v>49777780</v>
      </c>
      <c r="Q64">
        <v>49777780</v>
      </c>
      <c r="R64">
        <v>49777780</v>
      </c>
      <c r="S64">
        <v>49777768</v>
      </c>
      <c r="T64">
        <v>49777768</v>
      </c>
      <c r="U64">
        <v>49777768</v>
      </c>
      <c r="V64">
        <v>49777780</v>
      </c>
      <c r="W64">
        <v>49777768</v>
      </c>
      <c r="X64">
        <v>49777780</v>
      </c>
      <c r="Y64">
        <v>49777780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9827</v>
      </c>
      <c r="C68">
        <v>4924</v>
      </c>
      <c r="D68">
        <v>8472</v>
      </c>
      <c r="E68">
        <v>10031</v>
      </c>
      <c r="F68">
        <v>7874</v>
      </c>
      <c r="G68">
        <v>4545</v>
      </c>
      <c r="H68">
        <v>1715</v>
      </c>
      <c r="I68">
        <v>567</v>
      </c>
      <c r="J68">
        <v>7760</v>
      </c>
      <c r="K68">
        <v>7442</v>
      </c>
      <c r="L68">
        <v>1939</v>
      </c>
      <c r="M68">
        <v>3139</v>
      </c>
    </row>
    <row r="69" spans="2:13">
      <c r="B69">
        <v>9665</v>
      </c>
      <c r="C69">
        <v>4812</v>
      </c>
      <c r="D69">
        <v>8239</v>
      </c>
      <c r="E69">
        <v>10007</v>
      </c>
      <c r="F69">
        <v>7985</v>
      </c>
      <c r="G69">
        <v>4287</v>
      </c>
      <c r="H69">
        <v>1741</v>
      </c>
      <c r="I69">
        <v>504</v>
      </c>
      <c r="J69">
        <v>7809</v>
      </c>
      <c r="K69">
        <v>6998</v>
      </c>
      <c r="L69">
        <v>1808</v>
      </c>
      <c r="M69">
        <v>2930</v>
      </c>
    </row>
    <row r="70" spans="2:13">
      <c r="B70">
        <v>9867</v>
      </c>
      <c r="C70">
        <v>4624</v>
      </c>
      <c r="D70">
        <v>8657</v>
      </c>
      <c r="E70">
        <v>9811</v>
      </c>
      <c r="F70">
        <v>8182</v>
      </c>
      <c r="G70">
        <v>4259</v>
      </c>
      <c r="H70">
        <v>1713</v>
      </c>
      <c r="I70">
        <v>575</v>
      </c>
      <c r="J70">
        <v>7774</v>
      </c>
      <c r="K70">
        <v>7062</v>
      </c>
      <c r="L70">
        <v>1821</v>
      </c>
      <c r="M70">
        <v>2908</v>
      </c>
    </row>
    <row r="71" spans="2:13">
      <c r="B71">
        <v>10266</v>
      </c>
      <c r="C71">
        <v>4860</v>
      </c>
      <c r="D71">
        <v>8444</v>
      </c>
      <c r="E71">
        <v>9803</v>
      </c>
      <c r="F71">
        <v>7726</v>
      </c>
      <c r="G71">
        <v>4547</v>
      </c>
      <c r="H71">
        <v>1744</v>
      </c>
      <c r="I71">
        <v>502</v>
      </c>
      <c r="J71">
        <v>7583</v>
      </c>
      <c r="K71">
        <v>6793</v>
      </c>
      <c r="L71">
        <v>1830</v>
      </c>
      <c r="M71">
        <v>3070</v>
      </c>
    </row>
    <row r="72" spans="2:13">
      <c r="B72">
        <v>10089</v>
      </c>
      <c r="C72">
        <v>4866</v>
      </c>
      <c r="D72">
        <v>8577</v>
      </c>
      <c r="E72">
        <v>9925</v>
      </c>
      <c r="F72">
        <v>7952</v>
      </c>
      <c r="G72">
        <v>4520</v>
      </c>
      <c r="H72">
        <v>1879</v>
      </c>
      <c r="I72">
        <v>554</v>
      </c>
      <c r="J72">
        <v>7492</v>
      </c>
      <c r="K72">
        <v>6944</v>
      </c>
      <c r="L72">
        <v>1775</v>
      </c>
      <c r="M72">
        <v>2862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38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AVERAGE(Table27[Newtonsoft])</f>
        <v>9335.2000000000007</v>
      </c>
      <c r="D38" s="2">
        <f>AVERAGE(Table27[Revenj])</f>
        <v>9371.7999999999993</v>
      </c>
      <c r="E38" s="2">
        <f>AVERAGE(Table27[fastJSON])</f>
        <v>9097</v>
      </c>
      <c r="F38" s="2">
        <f>AVERAGE(Table27[Service Stack])</f>
        <v>8973.2000000000007</v>
      </c>
      <c r="G38" s="2">
        <f>AVERAGE(Table27[Jil])</f>
        <v>9275.4</v>
      </c>
      <c r="H38" s="2">
        <f>AVERAGE(Table27[NetJSON])</f>
        <v>9854.6</v>
      </c>
      <c r="I38" s="2">
        <f>AVERAGE(Table27[Jackson])</f>
        <v>730.8</v>
      </c>
      <c r="J38" s="2">
        <f>AVERAGE(Table27[DSL Platform Java])</f>
        <v>712.6</v>
      </c>
      <c r="K38" s="2">
        <f>AVERAGE(Table27[Genson])</f>
        <v>722</v>
      </c>
      <c r="L38" s="2">
        <f>AVERAGE(Table27[Boon])</f>
        <v>696.4</v>
      </c>
      <c r="M38" s="2">
        <f>AVERAGE(Table27[Alibaba])</f>
        <v>717.6</v>
      </c>
      <c r="N38" s="2">
        <f>AVERAGE(Table27[Gson])</f>
        <v>733</v>
      </c>
      <c r="O38" s="2"/>
      <c r="P38" s="2"/>
      <c r="Q38" s="2"/>
    </row>
    <row r="39" spans="2:17">
      <c r="B39" t="s">
        <v>0</v>
      </c>
      <c r="C39" s="2">
        <f>AVERAGE(Table26[Newtonsoft]) - C38</f>
        <v>33334.199999999997</v>
      </c>
      <c r="D39" s="2">
        <f>AVERAGE(Table26[Revenj]) - D38</f>
        <v>10997</v>
      </c>
      <c r="E39" s="2">
        <f>AVERAGE(Table26[fastJSON]) - E38</f>
        <v>27540.6</v>
      </c>
      <c r="F39" s="2">
        <f>AVERAGE(Table26[Service Stack]) - F38</f>
        <v>36595.399999999994</v>
      </c>
      <c r="G39" s="2">
        <f>AVERAGE(Table26[Jil]) - G38</f>
        <v>41215</v>
      </c>
      <c r="H39" s="2">
        <f>AVERAGE(Table26[NetJSON]) - H38</f>
        <v>12953.999999999998</v>
      </c>
      <c r="I39" s="2">
        <f>AVERAGE(Table26[Jackson]) - I38</f>
        <v>4395.8</v>
      </c>
      <c r="J39" s="2">
        <f>AVERAGE(Table26[DSL Platform Java]) - J38</f>
        <v>1374</v>
      </c>
      <c r="K39" s="2">
        <f>AVERAGE(Table26[Genson]) - K38</f>
        <v>31066.2</v>
      </c>
      <c r="L39" s="2">
        <f>AVERAGE(Table26[Boon]) - L38</f>
        <v>6613.6</v>
      </c>
      <c r="M39" s="2">
        <f>AVERAGE(Table26[Alibaba]) - M38</f>
        <v>4742.2</v>
      </c>
      <c r="N39" s="2">
        <f>AVERAGE(Table26[Gson]) - N38</f>
        <v>8660.6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57154</v>
      </c>
      <c r="D40" s="2">
        <f t="shared" si="0"/>
        <v>26674.799999999999</v>
      </c>
      <c r="E40" s="2">
        <f t="shared" ref="E40" si="1">E41 - E39 - E38</f>
        <v>48161.000000000007</v>
      </c>
      <c r="F40" s="2">
        <f t="shared" si="0"/>
        <v>52083.000000000015</v>
      </c>
      <c r="G40" s="2">
        <f t="shared" si="0"/>
        <v>24230.200000000004</v>
      </c>
      <c r="H40" s="2">
        <f t="shared" si="0"/>
        <v>21040.800000000003</v>
      </c>
      <c r="I40" s="2">
        <f t="shared" ref="I40" si="2">I41 - I39 - I38</f>
        <v>6547.6</v>
      </c>
      <c r="J40" s="2">
        <f t="shared" ref="J40" si="3">J41 - J39 - J38</f>
        <v>2006</v>
      </c>
      <c r="K40" s="2">
        <f t="shared" ref="K40:L40" si="4">K41 - K39 - K38</f>
        <v>35976.400000000009</v>
      </c>
      <c r="L40" s="2">
        <f t="shared" si="4"/>
        <v>57791.6</v>
      </c>
      <c r="M40" s="2">
        <f t="shared" ref="M40" si="5">M41 - M39 - M38</f>
        <v>6444.5999999999995</v>
      </c>
      <c r="N40" s="2">
        <f t="shared" ref="N40" si="6">N41 - N39 - N38</f>
        <v>13247.999999999998</v>
      </c>
      <c r="O40" s="2"/>
      <c r="P40" s="2"/>
      <c r="Q40" s="2"/>
    </row>
    <row r="41" spans="2:17">
      <c r="B41" t="s">
        <v>25</v>
      </c>
      <c r="C41" s="2">
        <f>AVERAGE(Table28[Newtonsoft])</f>
        <v>99823.4</v>
      </c>
      <c r="D41" s="2">
        <f>AVERAGE(Table28[Revenj])</f>
        <v>47043.6</v>
      </c>
      <c r="E41" s="2">
        <f>AVERAGE(Table28[fastJSON])</f>
        <v>84798.6</v>
      </c>
      <c r="F41" s="2">
        <f>AVERAGE(Table28[Service Stack])</f>
        <v>97651.6</v>
      </c>
      <c r="G41" s="2">
        <f>AVERAGE(Table28[Jil])</f>
        <v>74720.600000000006</v>
      </c>
      <c r="H41" s="2">
        <f>AVERAGE(Table28[NetJSON])</f>
        <v>43849.4</v>
      </c>
      <c r="I41" s="2">
        <f>AVERAGE(Table28[Jackson])</f>
        <v>11674.2</v>
      </c>
      <c r="J41" s="2">
        <f>AVERAGE(Table28[DSL Platform Java])</f>
        <v>4092.6</v>
      </c>
      <c r="K41" s="2">
        <f>AVERAGE(Table28[Genson])</f>
        <v>67764.600000000006</v>
      </c>
      <c r="L41" s="2">
        <f>AVERAGE(Table28[Boon])</f>
        <v>65101.599999999999</v>
      </c>
      <c r="M41" s="2">
        <f>AVERAGE(Table28[Alibaba])</f>
        <v>11904.4</v>
      </c>
      <c r="N41" s="2">
        <f>AVERAGE(Table28[Gson])</f>
        <v>22641.599999999999</v>
      </c>
      <c r="O41" s="2"/>
      <c r="P41" s="2"/>
      <c r="Q41" s="2"/>
    </row>
    <row r="42" spans="2:17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AVERAGE(Table26[fastJSON (size)])</f>
        <v>517777780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517777768</v>
      </c>
      <c r="J42" s="2">
        <f>AVERAGE(Table26[DSL Platform Java (size)])</f>
        <v>517777768</v>
      </c>
      <c r="K42" s="2">
        <f>AVERAGE(Table26[Genson (size)])</f>
        <v>517777780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DEVSQ(Table26[Newtonsoft])</f>
        <v>6231627.2000000002</v>
      </c>
      <c r="D47" s="2">
        <f>DEVSQ(Table26[Revenj])</f>
        <v>1185858.8</v>
      </c>
      <c r="E47" s="2">
        <f>DEVSQ(Table26[fastJSON])</f>
        <v>8906887.1999999993</v>
      </c>
      <c r="F47" s="2">
        <f>DEVSQ(Table26[Service Stack])</f>
        <v>2076017.2</v>
      </c>
      <c r="G47" s="2">
        <f>DEVSQ(Table26[Jil])</f>
        <v>2523367.2000000002</v>
      </c>
      <c r="H47" s="2">
        <f>DEVSQ(Table26[NetJSON])</f>
        <v>4991645.1999999993</v>
      </c>
      <c r="I47" s="2">
        <f>DEVSQ(Table26[Jackson])</f>
        <v>145193.20000000001</v>
      </c>
      <c r="J47" s="2">
        <f>DEVSQ(Table26[DSL Platform Java])</f>
        <v>248331.20000000004</v>
      </c>
      <c r="K47" s="2">
        <f>DEVSQ(Table26[Genson])</f>
        <v>193862.8</v>
      </c>
      <c r="L47" s="2">
        <f>DEVSQ(Table26[Boon])</f>
        <v>1908748</v>
      </c>
      <c r="M47" s="2">
        <f>DEVSQ(Table26[Alibaba])</f>
        <v>81126.799999999988</v>
      </c>
      <c r="N47" s="2">
        <f>DEVSQ(Table26[Gson])</f>
        <v>342799.2</v>
      </c>
      <c r="O47" s="2"/>
      <c r="P47" s="2"/>
      <c r="Q47" s="2"/>
    </row>
    <row r="48" spans="2:17">
      <c r="B48" t="s">
        <v>25</v>
      </c>
      <c r="C48" s="2">
        <f>DEVSQ(Table28[Newtonsoft])</f>
        <v>7774283.2000000011</v>
      </c>
      <c r="D48" s="2">
        <f>DEVSQ(Table28[Revenj])</f>
        <v>2700669.2</v>
      </c>
      <c r="E48" s="2">
        <f>DEVSQ(Table28[fastJSON])</f>
        <v>42210197.200000003</v>
      </c>
      <c r="F48" s="2">
        <f>DEVSQ(Table28[Service Stack])</f>
        <v>17544733.200000003</v>
      </c>
      <c r="G48" s="2">
        <f>DEVSQ(Table28[Jil])</f>
        <v>3110179.2</v>
      </c>
      <c r="H48" s="2">
        <f>DEVSQ(Table28[NetJSON])</f>
        <v>11738753.200000001</v>
      </c>
      <c r="I48" s="2">
        <f>DEVSQ(Table28[Jackson])</f>
        <v>1177618.8</v>
      </c>
      <c r="J48" s="2">
        <f>DEVSQ(Table28[DSL Platform Java])</f>
        <v>13851.2</v>
      </c>
      <c r="K48" s="2">
        <f>DEVSQ(Table28[Genson])</f>
        <v>1103509.2</v>
      </c>
      <c r="L48" s="2">
        <f>DEVSQ(Table28[Boon])</f>
        <v>7869217.1999999993</v>
      </c>
      <c r="M48" s="2">
        <f>DEVSQ(Table28[Alibaba])</f>
        <v>655949.19999999995</v>
      </c>
      <c r="N48" s="2">
        <f>DEVSQ(Table28[Gson])</f>
        <v>1561139.2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9751</v>
      </c>
      <c r="C52">
        <v>9199</v>
      </c>
      <c r="D52">
        <v>8487</v>
      </c>
      <c r="E52">
        <v>8645</v>
      </c>
      <c r="F52">
        <v>9017</v>
      </c>
      <c r="G52">
        <v>9012</v>
      </c>
      <c r="H52">
        <v>741</v>
      </c>
      <c r="I52">
        <v>691</v>
      </c>
      <c r="J52">
        <v>734</v>
      </c>
      <c r="K52">
        <v>696</v>
      </c>
      <c r="L52">
        <v>726</v>
      </c>
      <c r="M52">
        <v>756</v>
      </c>
    </row>
    <row r="53" spans="2:25">
      <c r="B53">
        <v>9410</v>
      </c>
      <c r="C53">
        <v>9163</v>
      </c>
      <c r="D53">
        <v>9023</v>
      </c>
      <c r="E53">
        <v>8806</v>
      </c>
      <c r="F53">
        <v>9474</v>
      </c>
      <c r="G53">
        <v>10376</v>
      </c>
      <c r="H53">
        <v>728</v>
      </c>
      <c r="I53">
        <v>711</v>
      </c>
      <c r="J53">
        <v>691</v>
      </c>
      <c r="K53">
        <v>695</v>
      </c>
      <c r="L53">
        <v>706</v>
      </c>
      <c r="M53">
        <v>709</v>
      </c>
    </row>
    <row r="54" spans="2:25">
      <c r="B54">
        <v>9016</v>
      </c>
      <c r="C54">
        <v>10043</v>
      </c>
      <c r="D54">
        <v>9778</v>
      </c>
      <c r="E54">
        <v>9338</v>
      </c>
      <c r="F54">
        <v>10018</v>
      </c>
      <c r="G54">
        <v>10912</v>
      </c>
      <c r="H54">
        <v>744</v>
      </c>
      <c r="I54">
        <v>736</v>
      </c>
      <c r="J54">
        <v>736</v>
      </c>
      <c r="K54">
        <v>692</v>
      </c>
      <c r="L54">
        <v>720</v>
      </c>
      <c r="M54">
        <v>785</v>
      </c>
    </row>
    <row r="55" spans="2:25">
      <c r="B55">
        <v>8852</v>
      </c>
      <c r="C55">
        <v>9089</v>
      </c>
      <c r="D55">
        <v>8993</v>
      </c>
      <c r="E55">
        <v>8697</v>
      </c>
      <c r="F55">
        <v>9148</v>
      </c>
      <c r="G55">
        <v>9159</v>
      </c>
      <c r="H55">
        <v>734</v>
      </c>
      <c r="I55">
        <v>685</v>
      </c>
      <c r="J55">
        <v>726</v>
      </c>
      <c r="K55">
        <v>707</v>
      </c>
      <c r="L55">
        <v>752</v>
      </c>
      <c r="M55">
        <v>708</v>
      </c>
    </row>
    <row r="56" spans="2:25">
      <c r="B56">
        <v>9647</v>
      </c>
      <c r="C56">
        <v>9365</v>
      </c>
      <c r="D56">
        <v>9204</v>
      </c>
      <c r="E56">
        <v>9380</v>
      </c>
      <c r="F56">
        <v>8720</v>
      </c>
      <c r="G56">
        <v>9814</v>
      </c>
      <c r="H56">
        <v>707</v>
      </c>
      <c r="I56">
        <v>740</v>
      </c>
      <c r="J56">
        <v>723</v>
      </c>
      <c r="K56">
        <v>692</v>
      </c>
      <c r="L56">
        <v>684</v>
      </c>
      <c r="M56">
        <v>707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42076</v>
      </c>
      <c r="C60">
        <v>19976</v>
      </c>
      <c r="D60">
        <v>37213</v>
      </c>
      <c r="E60">
        <v>46518</v>
      </c>
      <c r="F60">
        <v>51113</v>
      </c>
      <c r="G60">
        <v>21917</v>
      </c>
      <c r="H60">
        <v>5403</v>
      </c>
      <c r="I60">
        <v>1986</v>
      </c>
      <c r="J60">
        <v>31945</v>
      </c>
      <c r="K60">
        <v>8527</v>
      </c>
      <c r="L60">
        <v>5504</v>
      </c>
      <c r="M60">
        <v>9801</v>
      </c>
      <c r="N60">
        <v>517777780</v>
      </c>
      <c r="O60">
        <v>517777768</v>
      </c>
      <c r="P60">
        <v>517777780</v>
      </c>
      <c r="Q60">
        <v>517777780</v>
      </c>
      <c r="R60">
        <v>517777780</v>
      </c>
      <c r="S60">
        <v>517777768</v>
      </c>
      <c r="T60">
        <v>517777768</v>
      </c>
      <c r="U60">
        <v>517777768</v>
      </c>
      <c r="V60">
        <v>517777780</v>
      </c>
      <c r="W60">
        <v>517777768</v>
      </c>
      <c r="X60">
        <v>517777780</v>
      </c>
      <c r="Y60">
        <v>517777780</v>
      </c>
    </row>
    <row r="61" spans="2:25">
      <c r="B61">
        <v>41404</v>
      </c>
      <c r="C61">
        <v>19938</v>
      </c>
      <c r="D61">
        <v>38640</v>
      </c>
      <c r="E61">
        <v>44705</v>
      </c>
      <c r="F61">
        <v>51559</v>
      </c>
      <c r="G61">
        <v>22855</v>
      </c>
      <c r="H61">
        <v>4931</v>
      </c>
      <c r="I61">
        <v>1964</v>
      </c>
      <c r="J61">
        <v>31862</v>
      </c>
      <c r="K61">
        <v>6907</v>
      </c>
      <c r="L61">
        <v>5445</v>
      </c>
      <c r="M61">
        <v>9395</v>
      </c>
      <c r="N61">
        <v>517777780</v>
      </c>
      <c r="O61">
        <v>517777768</v>
      </c>
      <c r="P61">
        <v>517777780</v>
      </c>
      <c r="Q61">
        <v>517777780</v>
      </c>
      <c r="R61">
        <v>517777780</v>
      </c>
      <c r="S61">
        <v>517777768</v>
      </c>
      <c r="T61">
        <v>517777768</v>
      </c>
      <c r="U61">
        <v>517777768</v>
      </c>
      <c r="V61">
        <v>517777780</v>
      </c>
      <c r="W61">
        <v>517777768</v>
      </c>
      <c r="X61">
        <v>517777780</v>
      </c>
      <c r="Y61">
        <v>517777780</v>
      </c>
    </row>
    <row r="62" spans="2:25">
      <c r="B62">
        <v>42341</v>
      </c>
      <c r="C62">
        <v>20071</v>
      </c>
      <c r="D62">
        <v>35025</v>
      </c>
      <c r="E62">
        <v>45373</v>
      </c>
      <c r="F62">
        <v>49777</v>
      </c>
      <c r="G62">
        <v>21513</v>
      </c>
      <c r="H62">
        <v>5047</v>
      </c>
      <c r="I62">
        <v>1983</v>
      </c>
      <c r="J62">
        <v>31656</v>
      </c>
      <c r="K62">
        <v>7134</v>
      </c>
      <c r="L62">
        <v>5334</v>
      </c>
      <c r="M62">
        <v>9039</v>
      </c>
      <c r="N62">
        <v>517777780</v>
      </c>
      <c r="O62">
        <v>517777768</v>
      </c>
      <c r="P62">
        <v>517777780</v>
      </c>
      <c r="Q62">
        <v>517777780</v>
      </c>
      <c r="R62">
        <v>517777780</v>
      </c>
      <c r="S62">
        <v>517777768</v>
      </c>
      <c r="T62">
        <v>517777768</v>
      </c>
      <c r="U62">
        <v>517777768</v>
      </c>
      <c r="V62">
        <v>517777780</v>
      </c>
      <c r="W62">
        <v>517777768</v>
      </c>
      <c r="X62">
        <v>517777780</v>
      </c>
      <c r="Y62">
        <v>517777780</v>
      </c>
    </row>
    <row r="63" spans="2:25">
      <c r="B63">
        <v>42820</v>
      </c>
      <c r="C63">
        <v>20676</v>
      </c>
      <c r="D63">
        <v>35289</v>
      </c>
      <c r="E63">
        <v>45185</v>
      </c>
      <c r="F63">
        <v>50060</v>
      </c>
      <c r="G63">
        <v>23544</v>
      </c>
      <c r="H63">
        <v>5236</v>
      </c>
      <c r="I63">
        <v>2532</v>
      </c>
      <c r="J63">
        <v>31473</v>
      </c>
      <c r="K63">
        <v>7115</v>
      </c>
      <c r="L63">
        <v>5337</v>
      </c>
      <c r="M63">
        <v>9524</v>
      </c>
      <c r="N63">
        <v>517777780</v>
      </c>
      <c r="O63">
        <v>517777768</v>
      </c>
      <c r="P63">
        <v>517777780</v>
      </c>
      <c r="Q63">
        <v>517777780</v>
      </c>
      <c r="R63">
        <v>517777780</v>
      </c>
      <c r="S63">
        <v>517777768</v>
      </c>
      <c r="T63">
        <v>517777768</v>
      </c>
      <c r="U63">
        <v>517777768</v>
      </c>
      <c r="V63">
        <v>517777780</v>
      </c>
      <c r="W63">
        <v>517777768</v>
      </c>
      <c r="X63">
        <v>517777780</v>
      </c>
      <c r="Y63">
        <v>517777780</v>
      </c>
    </row>
    <row r="64" spans="2:25">
      <c r="B64">
        <v>44706</v>
      </c>
      <c r="C64">
        <v>21183</v>
      </c>
      <c r="D64">
        <v>37021</v>
      </c>
      <c r="E64">
        <v>46062</v>
      </c>
      <c r="F64">
        <v>49943</v>
      </c>
      <c r="G64">
        <v>24214</v>
      </c>
      <c r="H64">
        <v>5016</v>
      </c>
      <c r="I64">
        <v>1968</v>
      </c>
      <c r="J64">
        <v>32005</v>
      </c>
      <c r="K64">
        <v>6867</v>
      </c>
      <c r="L64">
        <v>5679</v>
      </c>
      <c r="M64">
        <v>9209</v>
      </c>
      <c r="N64">
        <v>517777780</v>
      </c>
      <c r="O64">
        <v>517777768</v>
      </c>
      <c r="P64">
        <v>517777780</v>
      </c>
      <c r="Q64">
        <v>517777780</v>
      </c>
      <c r="R64">
        <v>517777780</v>
      </c>
      <c r="S64">
        <v>517777768</v>
      </c>
      <c r="T64">
        <v>517777768</v>
      </c>
      <c r="U64">
        <v>517777768</v>
      </c>
      <c r="V64">
        <v>517777780</v>
      </c>
      <c r="W64">
        <v>517777768</v>
      </c>
      <c r="X64">
        <v>517777780</v>
      </c>
      <c r="Y64">
        <v>517777780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99274</v>
      </c>
      <c r="C68">
        <v>48484</v>
      </c>
      <c r="D68">
        <v>86097</v>
      </c>
      <c r="E68">
        <v>97410</v>
      </c>
      <c r="F68">
        <v>74554</v>
      </c>
      <c r="G68">
        <v>44785</v>
      </c>
      <c r="H68">
        <v>11181</v>
      </c>
      <c r="I68">
        <v>4110</v>
      </c>
      <c r="J68">
        <v>68291</v>
      </c>
      <c r="K68">
        <v>64790</v>
      </c>
      <c r="L68">
        <v>12062</v>
      </c>
      <c r="M68">
        <v>22315</v>
      </c>
    </row>
    <row r="69" spans="2:13">
      <c r="B69">
        <v>99018</v>
      </c>
      <c r="C69">
        <v>46451</v>
      </c>
      <c r="D69">
        <v>81494</v>
      </c>
      <c r="E69">
        <v>98964</v>
      </c>
      <c r="F69">
        <v>75838</v>
      </c>
      <c r="G69">
        <v>43944</v>
      </c>
      <c r="H69">
        <v>12007</v>
      </c>
      <c r="I69">
        <v>4125</v>
      </c>
      <c r="J69">
        <v>67826</v>
      </c>
      <c r="K69">
        <v>66800</v>
      </c>
      <c r="L69">
        <v>11757</v>
      </c>
      <c r="M69">
        <v>23069</v>
      </c>
    </row>
    <row r="70" spans="2:13">
      <c r="B70">
        <v>98376</v>
      </c>
      <c r="C70">
        <v>46833</v>
      </c>
      <c r="D70">
        <v>87373</v>
      </c>
      <c r="E70">
        <v>100488</v>
      </c>
      <c r="F70">
        <v>75100</v>
      </c>
      <c r="G70">
        <v>43985</v>
      </c>
      <c r="H70">
        <v>11232</v>
      </c>
      <c r="I70">
        <v>4050</v>
      </c>
      <c r="J70">
        <v>67800</v>
      </c>
      <c r="K70">
        <v>66251</v>
      </c>
      <c r="L70">
        <v>11291</v>
      </c>
      <c r="M70">
        <v>23286</v>
      </c>
    </row>
    <row r="71" spans="2:13">
      <c r="B71">
        <v>101858</v>
      </c>
      <c r="C71">
        <v>46608</v>
      </c>
      <c r="D71">
        <v>81137</v>
      </c>
      <c r="E71">
        <v>95905</v>
      </c>
      <c r="F71">
        <v>73421</v>
      </c>
      <c r="G71">
        <v>41013</v>
      </c>
      <c r="H71">
        <v>12448</v>
      </c>
      <c r="I71">
        <v>4016</v>
      </c>
      <c r="J71">
        <v>68013</v>
      </c>
      <c r="K71">
        <v>64252</v>
      </c>
      <c r="L71">
        <v>12366</v>
      </c>
      <c r="M71">
        <v>22807</v>
      </c>
    </row>
    <row r="72" spans="2:13">
      <c r="B72">
        <v>100591</v>
      </c>
      <c r="C72">
        <v>46842</v>
      </c>
      <c r="D72">
        <v>87892</v>
      </c>
      <c r="E72">
        <v>95491</v>
      </c>
      <c r="F72">
        <v>74690</v>
      </c>
      <c r="G72">
        <v>45520</v>
      </c>
      <c r="H72">
        <v>11503</v>
      </c>
      <c r="I72">
        <v>4162</v>
      </c>
      <c r="J72">
        <v>66893</v>
      </c>
      <c r="K72">
        <v>63415</v>
      </c>
      <c r="L72">
        <v>12046</v>
      </c>
      <c r="M72">
        <v>21731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39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AVERAGE(Table32[Newtonsoft])</f>
        <v>76</v>
      </c>
      <c r="D38" s="2">
        <f>AVERAGE(Table32[Revenj])</f>
        <v>75.8</v>
      </c>
      <c r="E38" s="2">
        <f>AVERAGE(Table32[fastJSON])</f>
        <v>72.400000000000006</v>
      </c>
      <c r="F38" s="2">
        <f>AVERAGE(Table32[Service Stack])</f>
        <v>75.8</v>
      </c>
      <c r="G38" s="2">
        <f>AVERAGE(Table32[Jil])</f>
        <v>74.400000000000006</v>
      </c>
      <c r="H38" s="2">
        <f>AVERAGE(Table32[NetJSON])</f>
        <v>73.2</v>
      </c>
      <c r="I38" s="2">
        <f>AVERAGE(Table32[Jackson])</f>
        <v>71.2</v>
      </c>
      <c r="J38" s="2">
        <f>AVERAGE(Table32[DSL Platform Java])</f>
        <v>74.2</v>
      </c>
      <c r="K38" s="2">
        <f>AVERAGE(Table32[Genson])</f>
        <v>72</v>
      </c>
      <c r="L38" s="2">
        <f>AVERAGE(Table32[Boon])</f>
        <v>76.2</v>
      </c>
      <c r="M38" s="2">
        <f>AVERAGE(Table32[Alibaba])</f>
        <v>70.2</v>
      </c>
      <c r="N38" s="2">
        <f>AVERAGE(Table32[Gson])</f>
        <v>68.400000000000006</v>
      </c>
      <c r="O38" s="2"/>
      <c r="P38" s="2"/>
      <c r="Q38" s="2"/>
    </row>
    <row r="39" spans="2:17">
      <c r="B39" t="s">
        <v>0</v>
      </c>
      <c r="C39" s="2">
        <f>AVERAGE(Table31[Newtonsoft]) - C38</f>
        <v>585.20000000000005</v>
      </c>
      <c r="D39" s="2">
        <f>AVERAGE(Table31[Revenj]) - D38</f>
        <v>194.2</v>
      </c>
      <c r="E39" s="2">
        <f>AVERAGE(Table31[fastJSON]) - E38</f>
        <v>418.4</v>
      </c>
      <c r="F39" s="2">
        <f>AVERAGE(Table31[Service Stack]) - F38</f>
        <v>491.99999999999994</v>
      </c>
      <c r="G39" s="2">
        <f>AVERAGE(Table31[Jil]) - G38</f>
        <v>506</v>
      </c>
      <c r="H39" s="2">
        <f>AVERAGE(Table31[NetJSON]) - H38</f>
        <v>200.60000000000002</v>
      </c>
      <c r="I39" s="2">
        <f>AVERAGE(Table31[Jackson]) - I38</f>
        <v>193.2</v>
      </c>
      <c r="J39" s="2">
        <f>AVERAGE(Table31[DSL Platform Java]) - J38</f>
        <v>109.39999999999999</v>
      </c>
      <c r="K39" s="2">
        <f>AVERAGE(Table31[Genson]) - K38</f>
        <v>521.20000000000005</v>
      </c>
      <c r="L39" s="2">
        <f>AVERAGE(Table31[Boon]) - L38</f>
        <v>344.40000000000003</v>
      </c>
      <c r="M39" s="2">
        <f>AVERAGE(Table31[Alibaba]) - M38</f>
        <v>212.2</v>
      </c>
      <c r="N39" s="2">
        <f>AVERAGE(Table31[Gson]) - N38</f>
        <v>218.6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897.2</v>
      </c>
      <c r="D40" s="2">
        <f t="shared" si="0"/>
        <v>376.79999999999995</v>
      </c>
      <c r="E40" s="2">
        <f t="shared" ref="E40" si="1">E41 - E39 - E38</f>
        <v>796.40000000000009</v>
      </c>
      <c r="F40" s="2">
        <f t="shared" si="0"/>
        <v>671.2</v>
      </c>
      <c r="G40" s="2">
        <f t="shared" si="0"/>
        <v>274.20000000000005</v>
      </c>
      <c r="H40" s="2">
        <f t="shared" si="0"/>
        <v>227.8</v>
      </c>
      <c r="I40" s="2">
        <f t="shared" ref="I40" si="2">I41 - I39 - I38</f>
        <v>248</v>
      </c>
      <c r="J40" s="2">
        <f t="shared" ref="J40" si="3">J41 - J39 - J38</f>
        <v>48.800000000000011</v>
      </c>
      <c r="K40" s="2">
        <f t="shared" ref="K40:L40" si="4">K41 - K39 - K38</f>
        <v>497.79999999999995</v>
      </c>
      <c r="L40" s="2">
        <f t="shared" si="4"/>
        <v>596.39999999999986</v>
      </c>
      <c r="M40" s="2">
        <f t="shared" ref="M40" si="5">M41 - M39 - M38</f>
        <v>239.39999999999998</v>
      </c>
      <c r="N40" s="2">
        <f t="shared" ref="N40" si="6">N41 - N39 - N38</f>
        <v>286.20000000000005</v>
      </c>
      <c r="O40" s="2"/>
      <c r="P40" s="2"/>
      <c r="Q40" s="2"/>
    </row>
    <row r="41" spans="2:17">
      <c r="B41" t="s">
        <v>25</v>
      </c>
      <c r="C41" s="2">
        <f>AVERAGE(Table33[Newtonsoft])</f>
        <v>1558.4</v>
      </c>
      <c r="D41" s="2">
        <f>AVERAGE(Table33[Revenj])</f>
        <v>646.79999999999995</v>
      </c>
      <c r="E41" s="2">
        <f>AVERAGE(Table33[fastJSON])</f>
        <v>1287.2</v>
      </c>
      <c r="F41" s="2">
        <f>AVERAGE(Table33[Service Stack])</f>
        <v>1239</v>
      </c>
      <c r="G41" s="2">
        <f>AVERAGE(Table33[Jil])</f>
        <v>854.6</v>
      </c>
      <c r="H41" s="2">
        <f>AVERAGE(Table33[NetJSON])</f>
        <v>501.6</v>
      </c>
      <c r="I41" s="2">
        <f>AVERAGE(Table33[Jackson])</f>
        <v>512.4</v>
      </c>
      <c r="J41" s="2">
        <f>AVERAGE(Table33[DSL Platform Java])</f>
        <v>232.4</v>
      </c>
      <c r="K41" s="2">
        <f>AVERAGE(Table33[Genson])</f>
        <v>1091</v>
      </c>
      <c r="L41" s="2">
        <f>AVERAGE(Table33[Boon])</f>
        <v>1017</v>
      </c>
      <c r="M41" s="2">
        <f>AVERAGE(Table33[Alibaba])</f>
        <v>521.79999999999995</v>
      </c>
      <c r="N41" s="2">
        <f>AVERAGE(Table33[Gson])</f>
        <v>573.20000000000005</v>
      </c>
      <c r="O41" s="2"/>
      <c r="P41" s="2"/>
      <c r="Q41" s="2"/>
    </row>
    <row r="42" spans="2:17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AVERAGE(Table31[fastJSON (size)])</f>
        <v>3346489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3346883</v>
      </c>
      <c r="J42" s="2">
        <f>AVERAGE(Table31[DSL Platform Java (size)])</f>
        <v>3346868</v>
      </c>
      <c r="K42" s="2">
        <f>AVERAGE(Table31[Genson (size)])</f>
        <v>3346889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DEVSQ(Table31[Newtonsoft])</f>
        <v>414.8</v>
      </c>
      <c r="D47" s="2">
        <f>DEVSQ(Table31[Revenj])</f>
        <v>154</v>
      </c>
      <c r="E47" s="2">
        <f>DEVSQ(Table31[fastJSON])</f>
        <v>286.79999999999995</v>
      </c>
      <c r="F47" s="2">
        <f>DEVSQ(Table31[Service Stack])</f>
        <v>568.79999999999995</v>
      </c>
      <c r="G47" s="2">
        <f>DEVSQ(Table31[Jil])</f>
        <v>521.19999999999993</v>
      </c>
      <c r="H47" s="2">
        <f>DEVSQ(Table31[NetJSON])</f>
        <v>250.79999999999998</v>
      </c>
      <c r="I47" s="2">
        <f>DEVSQ(Table31[Jackson])</f>
        <v>963.19999999999993</v>
      </c>
      <c r="J47" s="2">
        <f>DEVSQ(Table31[DSL Platform Java])</f>
        <v>727.2</v>
      </c>
      <c r="K47" s="2">
        <f>DEVSQ(Table31[Genson])</f>
        <v>896.8</v>
      </c>
      <c r="L47" s="2">
        <f>DEVSQ(Table31[Boon])</f>
        <v>16497.2</v>
      </c>
      <c r="M47" s="2">
        <f>DEVSQ(Table31[Alibaba])</f>
        <v>161.19999999999999</v>
      </c>
      <c r="N47" s="2">
        <f>DEVSQ(Table31[Gson])</f>
        <v>434</v>
      </c>
      <c r="O47" s="2"/>
      <c r="P47" s="2"/>
      <c r="Q47" s="2"/>
    </row>
    <row r="48" spans="2:17">
      <c r="B48" t="s">
        <v>25</v>
      </c>
      <c r="C48" s="2">
        <f>DEVSQ(Table33[Newtonsoft])</f>
        <v>4001.2</v>
      </c>
      <c r="D48" s="2">
        <f>DEVSQ(Table33[Revenj])</f>
        <v>62.800000000000011</v>
      </c>
      <c r="E48" s="2">
        <f>DEVSQ(Table33[fastJSON])</f>
        <v>414.8</v>
      </c>
      <c r="F48" s="2">
        <f>DEVSQ(Table33[Service Stack])</f>
        <v>2734</v>
      </c>
      <c r="G48" s="2">
        <f>DEVSQ(Table33[Jil])</f>
        <v>961.19999999999993</v>
      </c>
      <c r="H48" s="2">
        <f>DEVSQ(Table33[NetJSON])</f>
        <v>487.19999999999993</v>
      </c>
      <c r="I48" s="2">
        <f>DEVSQ(Table33[Jackson])</f>
        <v>1673.2000000000003</v>
      </c>
      <c r="J48" s="2">
        <f>DEVSQ(Table33[DSL Platform Java])</f>
        <v>451.20000000000005</v>
      </c>
      <c r="K48" s="2">
        <f>DEVSQ(Table33[Genson])</f>
        <v>18158</v>
      </c>
      <c r="L48" s="2">
        <f>DEVSQ(Table33[Boon])</f>
        <v>1156</v>
      </c>
      <c r="M48" s="2">
        <f>DEVSQ(Table33[Alibaba])</f>
        <v>1616.7999999999997</v>
      </c>
      <c r="N48" s="2">
        <f>DEVSQ(Table33[Gson])</f>
        <v>518.79999999999995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76</v>
      </c>
      <c r="C52">
        <v>74</v>
      </c>
      <c r="D52">
        <v>71</v>
      </c>
      <c r="E52">
        <v>75</v>
      </c>
      <c r="F52">
        <v>73</v>
      </c>
      <c r="G52">
        <v>75</v>
      </c>
      <c r="H52">
        <v>68</v>
      </c>
      <c r="I52">
        <v>79</v>
      </c>
      <c r="J52">
        <v>70</v>
      </c>
      <c r="K52">
        <v>75</v>
      </c>
      <c r="L52">
        <v>72</v>
      </c>
      <c r="M52">
        <v>69</v>
      </c>
    </row>
    <row r="53" spans="2:25">
      <c r="B53">
        <v>76</v>
      </c>
      <c r="C53">
        <v>71</v>
      </c>
      <c r="D53">
        <v>72</v>
      </c>
      <c r="E53">
        <v>79</v>
      </c>
      <c r="F53">
        <v>71</v>
      </c>
      <c r="G53">
        <v>72</v>
      </c>
      <c r="H53">
        <v>68</v>
      </c>
      <c r="I53">
        <v>68</v>
      </c>
      <c r="J53">
        <v>76</v>
      </c>
      <c r="K53">
        <v>71</v>
      </c>
      <c r="L53">
        <v>72</v>
      </c>
      <c r="M53">
        <v>69</v>
      </c>
    </row>
    <row r="54" spans="2:25">
      <c r="B54">
        <v>78</v>
      </c>
      <c r="C54">
        <v>73</v>
      </c>
      <c r="D54">
        <v>74</v>
      </c>
      <c r="E54">
        <v>79</v>
      </c>
      <c r="F54">
        <v>74</v>
      </c>
      <c r="G54">
        <v>70</v>
      </c>
      <c r="H54">
        <v>68</v>
      </c>
      <c r="I54">
        <v>83</v>
      </c>
      <c r="J54">
        <v>75</v>
      </c>
      <c r="K54">
        <v>79</v>
      </c>
      <c r="L54">
        <v>68</v>
      </c>
      <c r="M54">
        <v>70</v>
      </c>
    </row>
    <row r="55" spans="2:25">
      <c r="B55">
        <v>73</v>
      </c>
      <c r="C55">
        <v>81</v>
      </c>
      <c r="D55">
        <v>74</v>
      </c>
      <c r="E55">
        <v>71</v>
      </c>
      <c r="F55">
        <v>81</v>
      </c>
      <c r="G55">
        <v>74</v>
      </c>
      <c r="H55">
        <v>73</v>
      </c>
      <c r="I55">
        <v>69</v>
      </c>
      <c r="J55">
        <v>68</v>
      </c>
      <c r="K55">
        <v>80</v>
      </c>
      <c r="L55">
        <v>70</v>
      </c>
      <c r="M55">
        <v>67</v>
      </c>
    </row>
    <row r="56" spans="2:25">
      <c r="B56">
        <v>77</v>
      </c>
      <c r="C56">
        <v>80</v>
      </c>
      <c r="D56">
        <v>71</v>
      </c>
      <c r="E56">
        <v>75</v>
      </c>
      <c r="F56">
        <v>73</v>
      </c>
      <c r="G56">
        <v>75</v>
      </c>
      <c r="H56">
        <v>79</v>
      </c>
      <c r="I56">
        <v>72</v>
      </c>
      <c r="J56">
        <v>71</v>
      </c>
      <c r="K56">
        <v>76</v>
      </c>
      <c r="L56">
        <v>69</v>
      </c>
      <c r="M56">
        <v>67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660</v>
      </c>
      <c r="C60">
        <v>278</v>
      </c>
      <c r="D60">
        <v>490</v>
      </c>
      <c r="E60">
        <v>566</v>
      </c>
      <c r="F60">
        <v>592</v>
      </c>
      <c r="G60">
        <v>281</v>
      </c>
      <c r="H60">
        <v>244</v>
      </c>
      <c r="I60">
        <v>175</v>
      </c>
      <c r="J60">
        <v>611</v>
      </c>
      <c r="K60">
        <v>484</v>
      </c>
      <c r="L60">
        <v>282</v>
      </c>
      <c r="M60">
        <v>290</v>
      </c>
      <c r="N60">
        <v>3346889</v>
      </c>
      <c r="O60">
        <v>3346472</v>
      </c>
      <c r="P60">
        <v>3346489</v>
      </c>
      <c r="Q60">
        <v>3346489</v>
      </c>
      <c r="R60">
        <v>3346489</v>
      </c>
      <c r="S60">
        <v>3346472</v>
      </c>
      <c r="T60">
        <v>3346883</v>
      </c>
      <c r="U60">
        <v>3346868</v>
      </c>
      <c r="V60">
        <v>3346889</v>
      </c>
      <c r="W60">
        <v>3346875</v>
      </c>
      <c r="X60">
        <v>3346689</v>
      </c>
      <c r="Y60">
        <v>3346889</v>
      </c>
    </row>
    <row r="61" spans="2:25">
      <c r="B61">
        <v>647</v>
      </c>
      <c r="C61">
        <v>262</v>
      </c>
      <c r="D61">
        <v>493</v>
      </c>
      <c r="E61">
        <v>555</v>
      </c>
      <c r="F61">
        <v>573</v>
      </c>
      <c r="G61">
        <v>276</v>
      </c>
      <c r="H61">
        <v>281</v>
      </c>
      <c r="I61">
        <v>207</v>
      </c>
      <c r="J61">
        <v>595</v>
      </c>
      <c r="K61">
        <v>329</v>
      </c>
      <c r="L61">
        <v>276</v>
      </c>
      <c r="M61">
        <v>275</v>
      </c>
      <c r="N61">
        <v>3346889</v>
      </c>
      <c r="O61">
        <v>3346472</v>
      </c>
      <c r="P61">
        <v>3346489</v>
      </c>
      <c r="Q61">
        <v>3346489</v>
      </c>
      <c r="R61">
        <v>3346489</v>
      </c>
      <c r="S61">
        <v>3346472</v>
      </c>
      <c r="T61">
        <v>3346883</v>
      </c>
      <c r="U61">
        <v>3346868</v>
      </c>
      <c r="V61">
        <v>3346889</v>
      </c>
      <c r="W61">
        <v>3346875</v>
      </c>
      <c r="X61">
        <v>3346689</v>
      </c>
      <c r="Y61">
        <v>3346889</v>
      </c>
    </row>
    <row r="62" spans="2:25">
      <c r="B62">
        <v>657</v>
      </c>
      <c r="C62">
        <v>271</v>
      </c>
      <c r="D62">
        <v>484</v>
      </c>
      <c r="E62">
        <v>578</v>
      </c>
      <c r="F62">
        <v>576</v>
      </c>
      <c r="G62">
        <v>264</v>
      </c>
      <c r="H62">
        <v>279</v>
      </c>
      <c r="I62">
        <v>174</v>
      </c>
      <c r="J62">
        <v>570</v>
      </c>
      <c r="K62">
        <v>389</v>
      </c>
      <c r="L62">
        <v>280</v>
      </c>
      <c r="M62">
        <v>283</v>
      </c>
      <c r="N62">
        <v>3346889</v>
      </c>
      <c r="O62">
        <v>3346472</v>
      </c>
      <c r="P62">
        <v>3346489</v>
      </c>
      <c r="Q62">
        <v>3346489</v>
      </c>
      <c r="R62">
        <v>3346489</v>
      </c>
      <c r="S62">
        <v>3346472</v>
      </c>
      <c r="T62">
        <v>3346883</v>
      </c>
      <c r="U62">
        <v>3346868</v>
      </c>
      <c r="V62">
        <v>3346889</v>
      </c>
      <c r="W62">
        <v>3346875</v>
      </c>
      <c r="X62">
        <v>3346689</v>
      </c>
      <c r="Y62">
        <v>3346889</v>
      </c>
    </row>
    <row r="63" spans="2:25">
      <c r="B63">
        <v>672</v>
      </c>
      <c r="C63">
        <v>273</v>
      </c>
      <c r="D63">
        <v>504</v>
      </c>
      <c r="E63">
        <v>582</v>
      </c>
      <c r="F63">
        <v>593</v>
      </c>
      <c r="G63">
        <v>267</v>
      </c>
      <c r="H63">
        <v>259</v>
      </c>
      <c r="I63">
        <v>181</v>
      </c>
      <c r="J63">
        <v>591</v>
      </c>
      <c r="K63">
        <v>425</v>
      </c>
      <c r="L63">
        <v>281</v>
      </c>
      <c r="M63">
        <v>303</v>
      </c>
      <c r="N63">
        <v>3346889</v>
      </c>
      <c r="O63">
        <v>3346472</v>
      </c>
      <c r="P63">
        <v>3346489</v>
      </c>
      <c r="Q63">
        <v>3346489</v>
      </c>
      <c r="R63">
        <v>3346489</v>
      </c>
      <c r="S63">
        <v>3346472</v>
      </c>
      <c r="T63">
        <v>3346883</v>
      </c>
      <c r="U63">
        <v>3346868</v>
      </c>
      <c r="V63">
        <v>3346889</v>
      </c>
      <c r="W63">
        <v>3346875</v>
      </c>
      <c r="X63">
        <v>3346689</v>
      </c>
      <c r="Y63">
        <v>3346889</v>
      </c>
    </row>
    <row r="64" spans="2:25">
      <c r="B64">
        <v>670</v>
      </c>
      <c r="C64">
        <v>266</v>
      </c>
      <c r="D64">
        <v>483</v>
      </c>
      <c r="E64">
        <v>558</v>
      </c>
      <c r="F64">
        <v>568</v>
      </c>
      <c r="G64">
        <v>281</v>
      </c>
      <c r="H64">
        <v>259</v>
      </c>
      <c r="I64">
        <v>181</v>
      </c>
      <c r="J64">
        <v>599</v>
      </c>
      <c r="K64">
        <v>476</v>
      </c>
      <c r="L64">
        <v>293</v>
      </c>
      <c r="M64">
        <v>284</v>
      </c>
      <c r="N64">
        <v>3346889</v>
      </c>
      <c r="O64">
        <v>3346472</v>
      </c>
      <c r="P64">
        <v>3346489</v>
      </c>
      <c r="Q64">
        <v>3346489</v>
      </c>
      <c r="R64">
        <v>3346489</v>
      </c>
      <c r="S64">
        <v>3346472</v>
      </c>
      <c r="T64">
        <v>3346883</v>
      </c>
      <c r="U64">
        <v>3346868</v>
      </c>
      <c r="V64">
        <v>3346889</v>
      </c>
      <c r="W64">
        <v>3346875</v>
      </c>
      <c r="X64">
        <v>3346689</v>
      </c>
      <c r="Y64">
        <v>3346889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1590</v>
      </c>
      <c r="C68">
        <v>650</v>
      </c>
      <c r="D68">
        <v>1293</v>
      </c>
      <c r="E68">
        <v>1241</v>
      </c>
      <c r="F68">
        <v>844</v>
      </c>
      <c r="G68">
        <v>484</v>
      </c>
      <c r="H68">
        <v>545</v>
      </c>
      <c r="I68">
        <v>228</v>
      </c>
      <c r="J68">
        <v>1043</v>
      </c>
      <c r="K68">
        <v>1032</v>
      </c>
      <c r="L68">
        <v>522</v>
      </c>
      <c r="M68">
        <v>586</v>
      </c>
    </row>
    <row r="69" spans="2:13">
      <c r="B69">
        <v>1527</v>
      </c>
      <c r="C69">
        <v>640</v>
      </c>
      <c r="D69">
        <v>1292</v>
      </c>
      <c r="E69">
        <v>1215</v>
      </c>
      <c r="F69">
        <v>841</v>
      </c>
      <c r="G69">
        <v>505</v>
      </c>
      <c r="H69">
        <v>500</v>
      </c>
      <c r="I69">
        <v>227</v>
      </c>
      <c r="J69">
        <v>1163</v>
      </c>
      <c r="K69">
        <v>1004</v>
      </c>
      <c r="L69">
        <v>510</v>
      </c>
      <c r="M69">
        <v>567</v>
      </c>
    </row>
    <row r="70" spans="2:13">
      <c r="B70">
        <v>1540</v>
      </c>
      <c r="C70">
        <v>648</v>
      </c>
      <c r="D70">
        <v>1298</v>
      </c>
      <c r="E70">
        <v>1282</v>
      </c>
      <c r="F70">
        <v>872</v>
      </c>
      <c r="G70">
        <v>513</v>
      </c>
      <c r="H70">
        <v>517</v>
      </c>
      <c r="I70">
        <v>251</v>
      </c>
      <c r="J70">
        <v>1050</v>
      </c>
      <c r="K70">
        <v>1016</v>
      </c>
      <c r="L70">
        <v>496</v>
      </c>
      <c r="M70">
        <v>576</v>
      </c>
    </row>
    <row r="71" spans="2:13">
      <c r="B71">
        <v>1540</v>
      </c>
      <c r="C71">
        <v>647</v>
      </c>
      <c r="D71">
        <v>1274</v>
      </c>
      <c r="E71">
        <v>1235</v>
      </c>
      <c r="F71">
        <v>845</v>
      </c>
      <c r="G71">
        <v>499</v>
      </c>
      <c r="H71">
        <v>508</v>
      </c>
      <c r="I71">
        <v>231</v>
      </c>
      <c r="J71">
        <v>1033</v>
      </c>
      <c r="K71">
        <v>1036</v>
      </c>
      <c r="L71">
        <v>548</v>
      </c>
      <c r="M71">
        <v>557</v>
      </c>
    </row>
    <row r="72" spans="2:13">
      <c r="B72">
        <v>1595</v>
      </c>
      <c r="C72">
        <v>649</v>
      </c>
      <c r="D72">
        <v>1279</v>
      </c>
      <c r="E72">
        <v>1222</v>
      </c>
      <c r="F72">
        <v>871</v>
      </c>
      <c r="G72">
        <v>507</v>
      </c>
      <c r="H72">
        <v>492</v>
      </c>
      <c r="I72">
        <v>225</v>
      </c>
      <c r="J72">
        <v>1166</v>
      </c>
      <c r="K72">
        <v>997</v>
      </c>
      <c r="L72">
        <v>533</v>
      </c>
      <c r="M72">
        <v>580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40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AVERAGE(Table37[Newtonsoft])</f>
        <v>696.8</v>
      </c>
      <c r="D38" s="2">
        <f>AVERAGE(Table37[Revenj])</f>
        <v>703</v>
      </c>
      <c r="E38" s="2">
        <f>AVERAGE(Table37[fastJSON])</f>
        <v>674.2</v>
      </c>
      <c r="F38" s="2">
        <f>AVERAGE(Table37[Service Stack])</f>
        <v>691.6</v>
      </c>
      <c r="G38" s="2">
        <f>AVERAGE(Table37[Jil])</f>
        <v>685.8</v>
      </c>
      <c r="H38" s="2">
        <f>AVERAGE(Table37[NetJSON])</f>
        <v>688</v>
      </c>
      <c r="I38" s="2">
        <f>AVERAGE(Table37[Jackson])</f>
        <v>362.2</v>
      </c>
      <c r="J38" s="2">
        <f>AVERAGE(Table37[DSL Platform Java])</f>
        <v>357.2</v>
      </c>
      <c r="K38" s="2">
        <f>AVERAGE(Table37[Genson])</f>
        <v>361</v>
      </c>
      <c r="L38" s="2">
        <f>AVERAGE(Table37[Boon])</f>
        <v>362.8</v>
      </c>
      <c r="M38" s="2">
        <f>AVERAGE(Table37[Alibaba])</f>
        <v>358.6</v>
      </c>
      <c r="N38" s="2">
        <f>AVERAGE(Table37[Gson])</f>
        <v>360.8</v>
      </c>
      <c r="O38" s="2"/>
      <c r="P38" s="2"/>
      <c r="Q38" s="2"/>
    </row>
    <row r="39" spans="2:17">
      <c r="B39" t="s">
        <v>0</v>
      </c>
      <c r="C39" s="2">
        <f>AVERAGE(Table36[Newtonsoft]) - C38</f>
        <v>5901.4</v>
      </c>
      <c r="D39" s="2">
        <f>AVERAGE(Table36[Revenj]) - D38</f>
        <v>1858.4</v>
      </c>
      <c r="E39" s="2">
        <f>AVERAGE(Table36[fastJSON]) - E38</f>
        <v>4151.2</v>
      </c>
      <c r="F39" s="2">
        <f>AVERAGE(Table36[Service Stack]) - F38</f>
        <v>5044.7999999999993</v>
      </c>
      <c r="G39" s="2">
        <f>AVERAGE(Table36[Jil]) - G38</f>
        <v>5018</v>
      </c>
      <c r="H39" s="2">
        <f>AVERAGE(Table36[NetJSON]) - H38</f>
        <v>2046.4</v>
      </c>
      <c r="I39" s="2">
        <f>AVERAGE(Table36[Jackson]) - I38</f>
        <v>879.2</v>
      </c>
      <c r="J39" s="2">
        <f>AVERAGE(Table36[DSL Platform Java]) - J38</f>
        <v>438.00000000000006</v>
      </c>
      <c r="K39" s="2">
        <f>AVERAGE(Table36[Genson]) - K38</f>
        <v>3432.6</v>
      </c>
      <c r="L39" s="2">
        <f>AVERAGE(Table36[Boon]) - L38</f>
        <v>1354.2</v>
      </c>
      <c r="M39" s="2">
        <f>AVERAGE(Table36[Alibaba]) - M38</f>
        <v>930.4</v>
      </c>
      <c r="N39" s="2">
        <f>AVERAGE(Table36[Gson]) - N38</f>
        <v>1611.8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8983.8000000000011</v>
      </c>
      <c r="D40" s="2">
        <f t="shared" si="0"/>
        <v>3903.6000000000004</v>
      </c>
      <c r="E40" s="2">
        <f t="shared" ref="E40" si="1">E41 - E39 - E38</f>
        <v>8260.3999999999978</v>
      </c>
      <c r="F40" s="2">
        <f t="shared" si="0"/>
        <v>6785</v>
      </c>
      <c r="G40" s="2">
        <f t="shared" si="0"/>
        <v>2646.8</v>
      </c>
      <c r="H40" s="2">
        <f t="shared" si="0"/>
        <v>2334.9999999999995</v>
      </c>
      <c r="I40" s="2">
        <f t="shared" ref="I40" si="2">I41 - I39 - I38</f>
        <v>1307.5999999999999</v>
      </c>
      <c r="J40" s="2">
        <f t="shared" ref="J40" si="3">J41 - J39 - J38</f>
        <v>353.39999999999992</v>
      </c>
      <c r="K40" s="2">
        <f t="shared" ref="K40:L40" si="4">K41 - K39 - K38</f>
        <v>4100.2000000000007</v>
      </c>
      <c r="L40" s="2">
        <f t="shared" si="4"/>
        <v>6374.8</v>
      </c>
      <c r="M40" s="2">
        <f t="shared" ref="M40" si="5">M41 - M39 - M38</f>
        <v>1448.8000000000002</v>
      </c>
      <c r="N40" s="2">
        <f t="shared" ref="N40" si="6">N41 - N39 - N38</f>
        <v>1657.6</v>
      </c>
      <c r="O40" s="2"/>
      <c r="P40" s="2"/>
      <c r="Q40" s="2"/>
    </row>
    <row r="41" spans="2:17">
      <c r="B41" t="s">
        <v>25</v>
      </c>
      <c r="C41" s="2">
        <f>AVERAGE(Table38[Newtonsoft])</f>
        <v>15582</v>
      </c>
      <c r="D41" s="2">
        <f>AVERAGE(Table38[Revenj])</f>
        <v>6465</v>
      </c>
      <c r="E41" s="2">
        <f>AVERAGE(Table38[fastJSON])</f>
        <v>13085.8</v>
      </c>
      <c r="F41" s="2">
        <f>AVERAGE(Table38[Service Stack])</f>
        <v>12521.4</v>
      </c>
      <c r="G41" s="2">
        <f>AVERAGE(Table38[Jil])</f>
        <v>8350.6</v>
      </c>
      <c r="H41" s="2">
        <f>AVERAGE(Table38[NetJSON])</f>
        <v>5069.3999999999996</v>
      </c>
      <c r="I41" s="2">
        <f>AVERAGE(Table38[Jackson])</f>
        <v>2549</v>
      </c>
      <c r="J41" s="2">
        <f>AVERAGE(Table38[DSL Platform Java])</f>
        <v>1148.5999999999999</v>
      </c>
      <c r="K41" s="2">
        <f>AVERAGE(Table38[Genson])</f>
        <v>7893.8</v>
      </c>
      <c r="L41" s="2">
        <f>AVERAGE(Table38[Boon])</f>
        <v>8091.8</v>
      </c>
      <c r="M41" s="2">
        <f>AVERAGE(Table38[Alibaba])</f>
        <v>2737.8</v>
      </c>
      <c r="N41" s="2">
        <f>AVERAGE(Table38[Gson])</f>
        <v>3630.2</v>
      </c>
      <c r="O41" s="2"/>
      <c r="P41" s="2"/>
      <c r="Q41" s="2"/>
    </row>
    <row r="42" spans="2:17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AVERAGE(Table36[fastJSON (size)])</f>
        <v>36444889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36448883</v>
      </c>
      <c r="J42" s="2">
        <f>AVERAGE(Table36[DSL Platform Java (size)])</f>
        <v>36448868</v>
      </c>
      <c r="K42" s="2">
        <f>AVERAGE(Table36[Genson (size)])</f>
        <v>36448889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DEVSQ(Table36[Newtonsoft])</f>
        <v>18472.8</v>
      </c>
      <c r="D47" s="2">
        <f>DEVSQ(Table36[Revenj])</f>
        <v>9767.2000000000007</v>
      </c>
      <c r="E47" s="2">
        <f>DEVSQ(Table36[fastJSON])</f>
        <v>18527.2</v>
      </c>
      <c r="F47" s="2">
        <f>DEVSQ(Table36[Service Stack])</f>
        <v>66397.2</v>
      </c>
      <c r="G47" s="2">
        <f>DEVSQ(Table36[Jil])</f>
        <v>35902.800000000003</v>
      </c>
      <c r="H47" s="2">
        <f>DEVSQ(Table36[NetJSON])</f>
        <v>32021.199999999997</v>
      </c>
      <c r="I47" s="2">
        <f>DEVSQ(Table36[Jackson])</f>
        <v>4167.2</v>
      </c>
      <c r="J47" s="2">
        <f>DEVSQ(Table36[DSL Platform Java])</f>
        <v>7612.8</v>
      </c>
      <c r="K47" s="2">
        <f>DEVSQ(Table36[Genson])</f>
        <v>12641.199999999999</v>
      </c>
      <c r="L47" s="2">
        <f>DEVSQ(Table36[Boon])</f>
        <v>26474</v>
      </c>
      <c r="M47" s="2">
        <f>DEVSQ(Table36[Alibaba])</f>
        <v>1482</v>
      </c>
      <c r="N47" s="2">
        <f>DEVSQ(Table36[Gson])</f>
        <v>26199.200000000001</v>
      </c>
      <c r="O47" s="2"/>
      <c r="P47" s="2"/>
      <c r="Q47" s="2"/>
    </row>
    <row r="48" spans="2:17">
      <c r="B48" t="s">
        <v>25</v>
      </c>
      <c r="C48" s="2">
        <f>DEVSQ(Table38[Newtonsoft])</f>
        <v>184870</v>
      </c>
      <c r="D48" s="2">
        <f>DEVSQ(Table38[Revenj])</f>
        <v>37778</v>
      </c>
      <c r="E48" s="2">
        <f>DEVSQ(Table38[fastJSON])</f>
        <v>62814.8</v>
      </c>
      <c r="F48" s="2">
        <f>DEVSQ(Table38[Service Stack])</f>
        <v>192515.19999999998</v>
      </c>
      <c r="G48" s="2">
        <f>DEVSQ(Table38[Jil])</f>
        <v>274029.19999999995</v>
      </c>
      <c r="H48" s="2">
        <f>DEVSQ(Table38[NetJSON])</f>
        <v>147329.19999999998</v>
      </c>
      <c r="I48" s="2">
        <f>DEVSQ(Table38[Jackson])</f>
        <v>28386</v>
      </c>
      <c r="J48" s="2">
        <f>DEVSQ(Table38[DSL Platform Java])</f>
        <v>6073.2</v>
      </c>
      <c r="K48" s="2">
        <f>DEVSQ(Table38[Genson])</f>
        <v>79168.799999999988</v>
      </c>
      <c r="L48" s="2">
        <f>DEVSQ(Table38[Boon])</f>
        <v>79686.8</v>
      </c>
      <c r="M48" s="2">
        <f>DEVSQ(Table38[Alibaba])</f>
        <v>147922.79999999999</v>
      </c>
      <c r="N48" s="2">
        <f>DEVSQ(Table38[Gson])</f>
        <v>43058.8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672</v>
      </c>
      <c r="C52">
        <v>708</v>
      </c>
      <c r="D52">
        <v>678</v>
      </c>
      <c r="E52">
        <v>720</v>
      </c>
      <c r="F52">
        <v>664</v>
      </c>
      <c r="G52">
        <v>687</v>
      </c>
      <c r="H52">
        <v>358</v>
      </c>
      <c r="I52">
        <v>349</v>
      </c>
      <c r="J52">
        <v>361</v>
      </c>
      <c r="K52">
        <v>358</v>
      </c>
      <c r="L52">
        <v>366</v>
      </c>
      <c r="M52">
        <v>367</v>
      </c>
    </row>
    <row r="53" spans="2:25">
      <c r="B53">
        <v>710</v>
      </c>
      <c r="C53">
        <v>719</v>
      </c>
      <c r="D53">
        <v>673</v>
      </c>
      <c r="E53">
        <v>697</v>
      </c>
      <c r="F53">
        <v>712</v>
      </c>
      <c r="G53">
        <v>668</v>
      </c>
      <c r="H53">
        <v>360</v>
      </c>
      <c r="I53">
        <v>358</v>
      </c>
      <c r="J53">
        <v>370</v>
      </c>
      <c r="K53">
        <v>359</v>
      </c>
      <c r="L53">
        <v>346</v>
      </c>
      <c r="M53">
        <v>361</v>
      </c>
    </row>
    <row r="54" spans="2:25">
      <c r="B54">
        <v>736</v>
      </c>
      <c r="C54">
        <v>704</v>
      </c>
      <c r="D54">
        <v>693</v>
      </c>
      <c r="E54">
        <v>670</v>
      </c>
      <c r="F54">
        <v>667</v>
      </c>
      <c r="G54">
        <v>691</v>
      </c>
      <c r="H54">
        <v>356</v>
      </c>
      <c r="I54">
        <v>358</v>
      </c>
      <c r="J54">
        <v>361</v>
      </c>
      <c r="K54">
        <v>376</v>
      </c>
      <c r="L54">
        <v>366</v>
      </c>
      <c r="M54">
        <v>354</v>
      </c>
    </row>
    <row r="55" spans="2:25">
      <c r="B55">
        <v>681</v>
      </c>
      <c r="C55">
        <v>688</v>
      </c>
      <c r="D55">
        <v>675</v>
      </c>
      <c r="E55">
        <v>669</v>
      </c>
      <c r="F55">
        <v>667</v>
      </c>
      <c r="G55">
        <v>717</v>
      </c>
      <c r="H55">
        <v>369</v>
      </c>
      <c r="I55">
        <v>358</v>
      </c>
      <c r="J55">
        <v>359</v>
      </c>
      <c r="K55">
        <v>366</v>
      </c>
      <c r="L55">
        <v>365</v>
      </c>
      <c r="M55">
        <v>356</v>
      </c>
    </row>
    <row r="56" spans="2:25">
      <c r="B56">
        <v>685</v>
      </c>
      <c r="C56">
        <v>696</v>
      </c>
      <c r="D56">
        <v>652</v>
      </c>
      <c r="E56">
        <v>702</v>
      </c>
      <c r="F56">
        <v>719</v>
      </c>
      <c r="G56">
        <v>677</v>
      </c>
      <c r="H56">
        <v>368</v>
      </c>
      <c r="I56">
        <v>363</v>
      </c>
      <c r="J56">
        <v>354</v>
      </c>
      <c r="K56">
        <v>355</v>
      </c>
      <c r="L56">
        <v>350</v>
      </c>
      <c r="M56">
        <v>366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6676</v>
      </c>
      <c r="C60">
        <v>2486</v>
      </c>
      <c r="D60">
        <v>4810</v>
      </c>
      <c r="E60">
        <v>5884</v>
      </c>
      <c r="F60">
        <v>5731</v>
      </c>
      <c r="G60">
        <v>2712</v>
      </c>
      <c r="H60">
        <v>1236</v>
      </c>
      <c r="I60">
        <v>779</v>
      </c>
      <c r="J60">
        <v>3771</v>
      </c>
      <c r="K60">
        <v>1787</v>
      </c>
      <c r="L60">
        <v>1271</v>
      </c>
      <c r="M60">
        <v>2102</v>
      </c>
      <c r="N60">
        <v>36448889</v>
      </c>
      <c r="O60">
        <v>36444872</v>
      </c>
      <c r="P60">
        <v>36444889</v>
      </c>
      <c r="Q60">
        <v>36444889</v>
      </c>
      <c r="R60">
        <v>36444889</v>
      </c>
      <c r="S60">
        <v>36444872</v>
      </c>
      <c r="T60">
        <v>36448883</v>
      </c>
      <c r="U60">
        <v>36448868</v>
      </c>
      <c r="V60">
        <v>36448889</v>
      </c>
      <c r="W60">
        <v>36448875</v>
      </c>
      <c r="X60">
        <v>36446889</v>
      </c>
      <c r="Y60">
        <v>36448889</v>
      </c>
    </row>
    <row r="61" spans="2:25">
      <c r="B61">
        <v>6570</v>
      </c>
      <c r="C61">
        <v>2608</v>
      </c>
      <c r="D61">
        <v>4778</v>
      </c>
      <c r="E61">
        <v>5556</v>
      </c>
      <c r="F61">
        <v>5569</v>
      </c>
      <c r="G61">
        <v>2700</v>
      </c>
      <c r="H61">
        <v>1240</v>
      </c>
      <c r="I61">
        <v>779</v>
      </c>
      <c r="J61">
        <v>3866</v>
      </c>
      <c r="K61">
        <v>1682</v>
      </c>
      <c r="L61">
        <v>1320</v>
      </c>
      <c r="M61">
        <v>1916</v>
      </c>
      <c r="N61">
        <v>36448889</v>
      </c>
      <c r="O61">
        <v>36444872</v>
      </c>
      <c r="P61">
        <v>36444889</v>
      </c>
      <c r="Q61">
        <v>36444889</v>
      </c>
      <c r="R61">
        <v>36444889</v>
      </c>
      <c r="S61">
        <v>36444872</v>
      </c>
      <c r="T61">
        <v>36448883</v>
      </c>
      <c r="U61">
        <v>36448868</v>
      </c>
      <c r="V61">
        <v>36448889</v>
      </c>
      <c r="W61">
        <v>36448875</v>
      </c>
      <c r="X61">
        <v>36446889</v>
      </c>
      <c r="Y61">
        <v>36448889</v>
      </c>
    </row>
    <row r="62" spans="2:25">
      <c r="B62">
        <v>6562</v>
      </c>
      <c r="C62">
        <v>2548</v>
      </c>
      <c r="D62">
        <v>4944</v>
      </c>
      <c r="E62">
        <v>5733</v>
      </c>
      <c r="F62">
        <v>5660</v>
      </c>
      <c r="G62">
        <v>2683</v>
      </c>
      <c r="H62">
        <v>1296</v>
      </c>
      <c r="I62">
        <v>873</v>
      </c>
      <c r="J62">
        <v>3718</v>
      </c>
      <c r="K62">
        <v>1715</v>
      </c>
      <c r="L62">
        <v>1290</v>
      </c>
      <c r="M62">
        <v>1938</v>
      </c>
      <c r="N62">
        <v>36448889</v>
      </c>
      <c r="O62">
        <v>36444872</v>
      </c>
      <c r="P62">
        <v>36444889</v>
      </c>
      <c r="Q62">
        <v>36444889</v>
      </c>
      <c r="R62">
        <v>36444889</v>
      </c>
      <c r="S62">
        <v>36444872</v>
      </c>
      <c r="T62">
        <v>36448883</v>
      </c>
      <c r="U62">
        <v>36448868</v>
      </c>
      <c r="V62">
        <v>36448889</v>
      </c>
      <c r="W62">
        <v>36448875</v>
      </c>
      <c r="X62">
        <v>36446889</v>
      </c>
      <c r="Y62">
        <v>36448889</v>
      </c>
    </row>
    <row r="63" spans="2:25">
      <c r="B63">
        <v>6520</v>
      </c>
      <c r="C63">
        <v>2603</v>
      </c>
      <c r="D63">
        <v>4783</v>
      </c>
      <c r="E63">
        <v>5679</v>
      </c>
      <c r="F63">
        <v>5822</v>
      </c>
      <c r="G63">
        <v>2893</v>
      </c>
      <c r="H63">
        <v>1220</v>
      </c>
      <c r="I63">
        <v>774</v>
      </c>
      <c r="J63">
        <v>3827</v>
      </c>
      <c r="K63">
        <v>1800</v>
      </c>
      <c r="L63">
        <v>1289</v>
      </c>
      <c r="M63">
        <v>1907</v>
      </c>
      <c r="N63">
        <v>36448889</v>
      </c>
      <c r="O63">
        <v>36444872</v>
      </c>
      <c r="P63">
        <v>36444889</v>
      </c>
      <c r="Q63">
        <v>36444889</v>
      </c>
      <c r="R63">
        <v>36444889</v>
      </c>
      <c r="S63">
        <v>36444872</v>
      </c>
      <c r="T63">
        <v>36448883</v>
      </c>
      <c r="U63">
        <v>36448868</v>
      </c>
      <c r="V63">
        <v>36448889</v>
      </c>
      <c r="W63">
        <v>36448875</v>
      </c>
      <c r="X63">
        <v>36446889</v>
      </c>
      <c r="Y63">
        <v>36448889</v>
      </c>
    </row>
    <row r="64" spans="2:25">
      <c r="B64">
        <v>6663</v>
      </c>
      <c r="C64">
        <v>2562</v>
      </c>
      <c r="D64">
        <v>4812</v>
      </c>
      <c r="E64">
        <v>5830</v>
      </c>
      <c r="F64">
        <v>5737</v>
      </c>
      <c r="G64">
        <v>2684</v>
      </c>
      <c r="H64">
        <v>1215</v>
      </c>
      <c r="I64">
        <v>771</v>
      </c>
      <c r="J64">
        <v>3786</v>
      </c>
      <c r="K64">
        <v>1601</v>
      </c>
      <c r="L64">
        <v>1275</v>
      </c>
      <c r="M64">
        <v>2000</v>
      </c>
      <c r="N64">
        <v>36448889</v>
      </c>
      <c r="O64">
        <v>36444872</v>
      </c>
      <c r="P64">
        <v>36444889</v>
      </c>
      <c r="Q64">
        <v>36444889</v>
      </c>
      <c r="R64">
        <v>36444889</v>
      </c>
      <c r="S64">
        <v>36444872</v>
      </c>
      <c r="T64">
        <v>36448883</v>
      </c>
      <c r="U64">
        <v>36448868</v>
      </c>
      <c r="V64">
        <v>36448889</v>
      </c>
      <c r="W64">
        <v>36448875</v>
      </c>
      <c r="X64">
        <v>36446889</v>
      </c>
      <c r="Y64">
        <v>36448889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15498</v>
      </c>
      <c r="C68">
        <v>6469</v>
      </c>
      <c r="D68">
        <v>13033</v>
      </c>
      <c r="E68">
        <v>12418</v>
      </c>
      <c r="F68">
        <v>8521</v>
      </c>
      <c r="G68">
        <v>5217</v>
      </c>
      <c r="H68">
        <v>2529</v>
      </c>
      <c r="I68">
        <v>1145</v>
      </c>
      <c r="J68">
        <v>7778</v>
      </c>
      <c r="K68">
        <v>8267</v>
      </c>
      <c r="L68">
        <v>2812</v>
      </c>
      <c r="M68">
        <v>3661</v>
      </c>
    </row>
    <row r="69" spans="2:13">
      <c r="B69">
        <v>15760</v>
      </c>
      <c r="C69">
        <v>6631</v>
      </c>
      <c r="D69">
        <v>12970</v>
      </c>
      <c r="E69">
        <v>12356</v>
      </c>
      <c r="F69">
        <v>8624</v>
      </c>
      <c r="G69">
        <v>4831</v>
      </c>
      <c r="H69">
        <v>2487</v>
      </c>
      <c r="I69">
        <v>1151</v>
      </c>
      <c r="J69">
        <v>7849</v>
      </c>
      <c r="K69">
        <v>8051</v>
      </c>
      <c r="L69">
        <v>2899</v>
      </c>
      <c r="M69">
        <v>3643</v>
      </c>
    </row>
    <row r="70" spans="2:13">
      <c r="B70">
        <v>15497</v>
      </c>
      <c r="C70">
        <v>6427</v>
      </c>
      <c r="D70">
        <v>13273</v>
      </c>
      <c r="E70">
        <v>12512</v>
      </c>
      <c r="F70">
        <v>8457</v>
      </c>
      <c r="G70">
        <v>4891</v>
      </c>
      <c r="H70">
        <v>2684</v>
      </c>
      <c r="I70">
        <v>1192</v>
      </c>
      <c r="J70">
        <v>7784</v>
      </c>
      <c r="K70">
        <v>8203</v>
      </c>
      <c r="L70">
        <v>2409</v>
      </c>
      <c r="M70">
        <v>3455</v>
      </c>
    </row>
    <row r="71" spans="2:13">
      <c r="B71">
        <v>15314</v>
      </c>
      <c r="C71">
        <v>6404</v>
      </c>
      <c r="D71">
        <v>13001</v>
      </c>
      <c r="E71">
        <v>12420</v>
      </c>
      <c r="F71">
        <v>8014</v>
      </c>
      <c r="G71">
        <v>5222</v>
      </c>
      <c r="H71">
        <v>2475</v>
      </c>
      <c r="I71">
        <v>1087</v>
      </c>
      <c r="J71">
        <v>8116</v>
      </c>
      <c r="K71">
        <v>7920</v>
      </c>
      <c r="L71">
        <v>2829</v>
      </c>
      <c r="M71">
        <v>3660</v>
      </c>
    </row>
    <row r="72" spans="2:13">
      <c r="B72">
        <v>15841</v>
      </c>
      <c r="C72">
        <v>6394</v>
      </c>
      <c r="D72">
        <v>13152</v>
      </c>
      <c r="E72">
        <v>12901</v>
      </c>
      <c r="F72">
        <v>8137</v>
      </c>
      <c r="G72">
        <v>5186</v>
      </c>
      <c r="H72">
        <v>2570</v>
      </c>
      <c r="I72">
        <v>1168</v>
      </c>
      <c r="J72">
        <v>7942</v>
      </c>
      <c r="K72">
        <v>8018</v>
      </c>
      <c r="L72">
        <v>2740</v>
      </c>
      <c r="M72">
        <v>3732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41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AVERAGE(Table42[Newtonsoft])</f>
        <v>6896</v>
      </c>
      <c r="D38" s="2">
        <f>AVERAGE(Table42[Revenj])</f>
        <v>6915.2</v>
      </c>
      <c r="E38" s="2">
        <f>AVERAGE(Table42[fastJSON])</f>
        <v>6758.6</v>
      </c>
      <c r="F38" s="2">
        <f>AVERAGE(Table42[Service Stack])</f>
        <v>6841.4</v>
      </c>
      <c r="G38" s="2">
        <f>AVERAGE(Table42[Jil])</f>
        <v>6987.6</v>
      </c>
      <c r="H38" s="2">
        <f>AVERAGE(Table42[NetJSON])</f>
        <v>6657.2</v>
      </c>
      <c r="I38" s="2">
        <f>AVERAGE(Table42[Jackson])</f>
        <v>3478.4</v>
      </c>
      <c r="J38" s="2">
        <f>AVERAGE(Table42[DSL Platform Java])</f>
        <v>3538.8</v>
      </c>
      <c r="K38" s="2">
        <f>AVERAGE(Table42[Genson])</f>
        <v>3559.2</v>
      </c>
      <c r="L38" s="2">
        <f>AVERAGE(Table42[Boon])</f>
        <v>3459.4</v>
      </c>
      <c r="M38" s="2">
        <f>AVERAGE(Table42[Alibaba])</f>
        <v>3475.6</v>
      </c>
      <c r="N38" s="2">
        <f>AVERAGE(Table42[Gson])</f>
        <v>3452.6</v>
      </c>
      <c r="O38" s="2"/>
      <c r="P38" s="2"/>
      <c r="Q38" s="2"/>
    </row>
    <row r="39" spans="2:17">
      <c r="B39" t="s">
        <v>0</v>
      </c>
      <c r="C39" s="2">
        <f>AVERAGE(Table41[Newtonsoft]) - C38</f>
        <v>60120</v>
      </c>
      <c r="D39" s="2">
        <f>AVERAGE(Table41[Revenj]) - D38</f>
        <v>19588</v>
      </c>
      <c r="E39" s="2">
        <f>AVERAGE(Table41[fastJSON]) - E38</f>
        <v>41627.4</v>
      </c>
      <c r="F39" s="2">
        <f>AVERAGE(Table41[Service Stack]) - F38</f>
        <v>49885</v>
      </c>
      <c r="G39" s="2">
        <f>AVERAGE(Table41[Jil]) - G38</f>
        <v>50049.200000000004</v>
      </c>
      <c r="H39" s="2">
        <f>AVERAGE(Table41[NetJSON]) - H38</f>
        <v>19547.399999999998</v>
      </c>
      <c r="I39" s="2">
        <f>AVERAGE(Table41[Jackson]) - I38</f>
        <v>7089.2000000000007</v>
      </c>
      <c r="J39" s="2">
        <f>AVERAGE(Table41[DSL Platform Java]) - J38</f>
        <v>3722</v>
      </c>
      <c r="K39" s="2">
        <f>AVERAGE(Table41[Genson]) - K38</f>
        <v>34146</v>
      </c>
      <c r="L39" s="2">
        <f>AVERAGE(Table41[Boon]) - L38</f>
        <v>11724.800000000001</v>
      </c>
      <c r="M39" s="2">
        <f>AVERAGE(Table41[Alibaba]) - M38</f>
        <v>7142.1999999999989</v>
      </c>
      <c r="N39" s="2">
        <f>AVERAGE(Table41[Gson]) - N38</f>
        <v>13867.4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92156.4</v>
      </c>
      <c r="D40" s="2">
        <f t="shared" si="0"/>
        <v>38464.400000000001</v>
      </c>
      <c r="E40" s="2">
        <f t="shared" ref="E40" si="1">E41 - E39 - E38</f>
        <v>84276.4</v>
      </c>
      <c r="F40" s="2">
        <f t="shared" si="0"/>
        <v>69515.600000000006</v>
      </c>
      <c r="G40" s="2">
        <f t="shared" si="0"/>
        <v>25278.399999999994</v>
      </c>
      <c r="H40" s="2">
        <f t="shared" si="0"/>
        <v>25313.599999999999</v>
      </c>
      <c r="I40" s="2">
        <f t="shared" ref="I40" si="2">I41 - I39 - I38</f>
        <v>10270.199999999999</v>
      </c>
      <c r="J40" s="2">
        <f t="shared" ref="J40" si="3">J41 - J39 - J38</f>
        <v>2721.4000000000005</v>
      </c>
      <c r="K40" s="2">
        <f t="shared" ref="K40:L40" si="4">K41 - K39 - K38</f>
        <v>40919.400000000009</v>
      </c>
      <c r="L40" s="2">
        <f t="shared" si="4"/>
        <v>67461.400000000009</v>
      </c>
      <c r="M40" s="2">
        <f t="shared" ref="M40" si="5">M41 - M39 - M38</f>
        <v>14500.600000000004</v>
      </c>
      <c r="N40" s="2">
        <f t="shared" ref="N40" si="6">N41 - N39 - N38</f>
        <v>18845.400000000001</v>
      </c>
      <c r="O40" s="2"/>
      <c r="P40" s="2"/>
      <c r="Q40" s="2"/>
    </row>
    <row r="41" spans="2:17">
      <c r="B41" t="s">
        <v>25</v>
      </c>
      <c r="C41" s="2">
        <f>AVERAGE(Table43[Newtonsoft])</f>
        <v>159172.4</v>
      </c>
      <c r="D41" s="2">
        <f>AVERAGE(Table43[Revenj])</f>
        <v>64967.6</v>
      </c>
      <c r="E41" s="2">
        <f>AVERAGE(Table43[fastJSON])</f>
        <v>132662.39999999999</v>
      </c>
      <c r="F41" s="2">
        <f>AVERAGE(Table43[Service Stack])</f>
        <v>126242</v>
      </c>
      <c r="G41" s="2">
        <f>AVERAGE(Table43[Jil])</f>
        <v>82315.199999999997</v>
      </c>
      <c r="H41" s="2">
        <f>AVERAGE(Table43[NetJSON])</f>
        <v>51518.2</v>
      </c>
      <c r="I41" s="2">
        <f>AVERAGE(Table43[Jackson])</f>
        <v>20837.8</v>
      </c>
      <c r="J41" s="2">
        <f>AVERAGE(Table43[DSL Platform Java])</f>
        <v>9982.2000000000007</v>
      </c>
      <c r="K41" s="2">
        <f>AVERAGE(Table43[Genson])</f>
        <v>78624.600000000006</v>
      </c>
      <c r="L41" s="2">
        <f>AVERAGE(Table43[Boon])</f>
        <v>82645.600000000006</v>
      </c>
      <c r="M41" s="2">
        <f>AVERAGE(Table43[Alibaba])</f>
        <v>25118.400000000001</v>
      </c>
      <c r="N41" s="2">
        <f>AVERAGE(Table43[Gson])</f>
        <v>36165.4</v>
      </c>
      <c r="O41" s="2"/>
      <c r="P41" s="2"/>
      <c r="Q41" s="2"/>
    </row>
    <row r="42" spans="2:17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AVERAGE(Table41[fastJSON (size)])</f>
        <v>394428889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394468883</v>
      </c>
      <c r="J42" s="2">
        <f>AVERAGE(Table41[DSL Platform Java (size)])</f>
        <v>394468868</v>
      </c>
      <c r="K42" s="2">
        <f>AVERAGE(Table41[Genson (size)])</f>
        <v>394468889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DEVSQ(Table41[Newtonsoft])</f>
        <v>8973926</v>
      </c>
      <c r="D47" s="2">
        <f>DEVSQ(Table41[Revenj])</f>
        <v>844382.8</v>
      </c>
      <c r="E47" s="2">
        <f>DEVSQ(Table41[fastJSON])</f>
        <v>4495688</v>
      </c>
      <c r="F47" s="2">
        <f>DEVSQ(Table41[Service Stack])</f>
        <v>2519189.1999999997</v>
      </c>
      <c r="G47" s="2">
        <f>DEVSQ(Table41[Jil])</f>
        <v>2942298.8</v>
      </c>
      <c r="H47" s="2">
        <f>DEVSQ(Table41[NetJSON])</f>
        <v>1423173.2000000002</v>
      </c>
      <c r="I47" s="2">
        <f>DEVSQ(Table41[Jackson])</f>
        <v>1041661.2</v>
      </c>
      <c r="J47" s="2">
        <f>DEVSQ(Table41[DSL Platform Java])</f>
        <v>16866.8</v>
      </c>
      <c r="K47" s="2">
        <f>DEVSQ(Table41[Genson])</f>
        <v>1431502.7999999998</v>
      </c>
      <c r="L47" s="2">
        <f>DEVSQ(Table41[Boon])</f>
        <v>1420338.8</v>
      </c>
      <c r="M47" s="2">
        <f>DEVSQ(Table41[Alibaba])</f>
        <v>213224.79999999996</v>
      </c>
      <c r="N47" s="2">
        <f>DEVSQ(Table41[Gson])</f>
        <v>2683340</v>
      </c>
      <c r="O47" s="2"/>
      <c r="P47" s="2"/>
      <c r="Q47" s="2"/>
    </row>
    <row r="48" spans="2:17">
      <c r="B48" t="s">
        <v>25</v>
      </c>
      <c r="C48" s="2">
        <f>DEVSQ(Table43[Newtonsoft])</f>
        <v>4013223.2</v>
      </c>
      <c r="D48" s="2">
        <f>DEVSQ(Table43[Revenj])</f>
        <v>3267579.1999999997</v>
      </c>
      <c r="E48" s="2">
        <f>DEVSQ(Table43[fastJSON])</f>
        <v>15781029.199999999</v>
      </c>
      <c r="F48" s="2">
        <f>DEVSQ(Table43[Service Stack])</f>
        <v>20478958</v>
      </c>
      <c r="G48" s="2">
        <f>DEVSQ(Table43[Jil])</f>
        <v>14572098.800000001</v>
      </c>
      <c r="H48" s="2">
        <f>DEVSQ(Table43[NetJSON])</f>
        <v>15656620.800000001</v>
      </c>
      <c r="I48" s="2">
        <f>DEVSQ(Table43[Jackson])</f>
        <v>2321444.7999999998</v>
      </c>
      <c r="J48" s="2">
        <f>DEVSQ(Table43[DSL Platform Java])</f>
        <v>434318.80000000005</v>
      </c>
      <c r="K48" s="2">
        <f>DEVSQ(Table43[Genson])</f>
        <v>3967049.2</v>
      </c>
      <c r="L48" s="2">
        <f>DEVSQ(Table43[Boon])</f>
        <v>7096595.2000000002</v>
      </c>
      <c r="M48" s="2">
        <f>DEVSQ(Table43[Alibaba])</f>
        <v>8838333.2000000011</v>
      </c>
      <c r="N48" s="2">
        <f>DEVSQ(Table43[Gson])</f>
        <v>14093459.200000001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6944</v>
      </c>
      <c r="C52">
        <v>6881</v>
      </c>
      <c r="D52">
        <v>6718</v>
      </c>
      <c r="E52">
        <v>6592</v>
      </c>
      <c r="F52">
        <v>6856</v>
      </c>
      <c r="G52">
        <v>6729</v>
      </c>
      <c r="H52">
        <v>3517</v>
      </c>
      <c r="I52">
        <v>3463</v>
      </c>
      <c r="J52">
        <v>3796</v>
      </c>
      <c r="K52">
        <v>3481</v>
      </c>
      <c r="L52">
        <v>3491</v>
      </c>
      <c r="M52">
        <v>3486</v>
      </c>
    </row>
    <row r="53" spans="2:25">
      <c r="B53">
        <v>6579</v>
      </c>
      <c r="C53">
        <v>6844</v>
      </c>
      <c r="D53">
        <v>6888</v>
      </c>
      <c r="E53">
        <v>6863</v>
      </c>
      <c r="F53">
        <v>6791</v>
      </c>
      <c r="G53">
        <v>6542</v>
      </c>
      <c r="H53">
        <v>3457</v>
      </c>
      <c r="I53">
        <v>3436</v>
      </c>
      <c r="J53">
        <v>3447</v>
      </c>
      <c r="K53">
        <v>3469</v>
      </c>
      <c r="L53">
        <v>3439</v>
      </c>
      <c r="M53">
        <v>3505</v>
      </c>
    </row>
    <row r="54" spans="2:25">
      <c r="B54">
        <v>7119</v>
      </c>
      <c r="C54">
        <v>6497</v>
      </c>
      <c r="D54">
        <v>6627</v>
      </c>
      <c r="E54">
        <v>7191</v>
      </c>
      <c r="F54">
        <v>6897</v>
      </c>
      <c r="G54">
        <v>6795</v>
      </c>
      <c r="H54">
        <v>3507</v>
      </c>
      <c r="I54">
        <v>3837</v>
      </c>
      <c r="J54">
        <v>3484</v>
      </c>
      <c r="K54">
        <v>3456</v>
      </c>
      <c r="L54">
        <v>3449</v>
      </c>
      <c r="M54">
        <v>3320</v>
      </c>
    </row>
    <row r="55" spans="2:25">
      <c r="B55">
        <v>6706</v>
      </c>
      <c r="C55">
        <v>7097</v>
      </c>
      <c r="D55">
        <v>6721</v>
      </c>
      <c r="E55">
        <v>6685</v>
      </c>
      <c r="F55">
        <v>7153</v>
      </c>
      <c r="G55">
        <v>6567</v>
      </c>
      <c r="H55">
        <v>3440</v>
      </c>
      <c r="I55">
        <v>3445</v>
      </c>
      <c r="J55">
        <v>3521</v>
      </c>
      <c r="K55">
        <v>3448</v>
      </c>
      <c r="L55">
        <v>3534</v>
      </c>
      <c r="M55">
        <v>3460</v>
      </c>
    </row>
    <row r="56" spans="2:25">
      <c r="B56">
        <v>7132</v>
      </c>
      <c r="C56">
        <v>7257</v>
      </c>
      <c r="D56">
        <v>6839</v>
      </c>
      <c r="E56">
        <v>6876</v>
      </c>
      <c r="F56">
        <v>7241</v>
      </c>
      <c r="G56">
        <v>6653</v>
      </c>
      <c r="H56">
        <v>3471</v>
      </c>
      <c r="I56">
        <v>3513</v>
      </c>
      <c r="J56">
        <v>3548</v>
      </c>
      <c r="K56">
        <v>3443</v>
      </c>
      <c r="L56">
        <v>3465</v>
      </c>
      <c r="M56">
        <v>3492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65307</v>
      </c>
      <c r="C60">
        <v>26040</v>
      </c>
      <c r="D60">
        <v>49467</v>
      </c>
      <c r="E60">
        <v>57026</v>
      </c>
      <c r="F60">
        <v>56134</v>
      </c>
      <c r="G60">
        <v>26552</v>
      </c>
      <c r="H60">
        <v>11417</v>
      </c>
      <c r="I60">
        <v>7280</v>
      </c>
      <c r="J60">
        <v>38531</v>
      </c>
      <c r="K60">
        <v>14831</v>
      </c>
      <c r="L60">
        <v>10290</v>
      </c>
      <c r="M60">
        <v>18725</v>
      </c>
      <c r="N60">
        <v>394468889</v>
      </c>
      <c r="O60">
        <v>394428872</v>
      </c>
      <c r="P60">
        <v>394428889</v>
      </c>
      <c r="Q60">
        <v>394428889</v>
      </c>
      <c r="R60">
        <v>394428889</v>
      </c>
      <c r="S60">
        <v>394428872</v>
      </c>
      <c r="T60">
        <v>394468883</v>
      </c>
      <c r="U60">
        <v>394468868</v>
      </c>
      <c r="V60">
        <v>394468889</v>
      </c>
      <c r="W60">
        <v>394468875</v>
      </c>
      <c r="X60">
        <v>394448889</v>
      </c>
      <c r="Y60">
        <v>394468889</v>
      </c>
    </row>
    <row r="61" spans="2:25">
      <c r="B61">
        <v>68803</v>
      </c>
      <c r="C61">
        <v>26692</v>
      </c>
      <c r="D61">
        <v>49000</v>
      </c>
      <c r="E61">
        <v>55980</v>
      </c>
      <c r="F61">
        <v>57054</v>
      </c>
      <c r="G61">
        <v>27085</v>
      </c>
      <c r="H61">
        <v>10483</v>
      </c>
      <c r="I61">
        <v>7225</v>
      </c>
      <c r="J61">
        <v>36924</v>
      </c>
      <c r="K61">
        <v>15349</v>
      </c>
      <c r="L61">
        <v>10730</v>
      </c>
      <c r="M61">
        <v>16756</v>
      </c>
      <c r="N61">
        <v>394468889</v>
      </c>
      <c r="O61">
        <v>394428872</v>
      </c>
      <c r="P61">
        <v>394428889</v>
      </c>
      <c r="Q61">
        <v>394428889</v>
      </c>
      <c r="R61">
        <v>394428889</v>
      </c>
      <c r="S61">
        <v>394428872</v>
      </c>
      <c r="T61">
        <v>394468883</v>
      </c>
      <c r="U61">
        <v>394468868</v>
      </c>
      <c r="V61">
        <v>394468889</v>
      </c>
      <c r="W61">
        <v>394468875</v>
      </c>
      <c r="X61">
        <v>394448889</v>
      </c>
      <c r="Y61">
        <v>394468889</v>
      </c>
    </row>
    <row r="62" spans="2:25">
      <c r="B62">
        <v>68240</v>
      </c>
      <c r="C62">
        <v>26093</v>
      </c>
      <c r="D62">
        <v>47215</v>
      </c>
      <c r="E62">
        <v>56158</v>
      </c>
      <c r="F62">
        <v>58026</v>
      </c>
      <c r="G62">
        <v>25905</v>
      </c>
      <c r="H62">
        <v>10424</v>
      </c>
      <c r="I62">
        <v>7190</v>
      </c>
      <c r="J62">
        <v>37869</v>
      </c>
      <c r="K62">
        <v>16105</v>
      </c>
      <c r="L62">
        <v>10464</v>
      </c>
      <c r="M62">
        <v>17353</v>
      </c>
      <c r="N62">
        <v>394468889</v>
      </c>
      <c r="O62">
        <v>394428872</v>
      </c>
      <c r="P62">
        <v>394428889</v>
      </c>
      <c r="Q62">
        <v>394428889</v>
      </c>
      <c r="R62">
        <v>394428889</v>
      </c>
      <c r="S62">
        <v>394428872</v>
      </c>
      <c r="T62">
        <v>394468883</v>
      </c>
      <c r="U62">
        <v>394468868</v>
      </c>
      <c r="V62">
        <v>394468889</v>
      </c>
      <c r="W62">
        <v>394468875</v>
      </c>
      <c r="X62">
        <v>394448889</v>
      </c>
      <c r="Y62">
        <v>394468889</v>
      </c>
    </row>
    <row r="63" spans="2:25">
      <c r="B63">
        <v>65858</v>
      </c>
      <c r="C63">
        <v>26536</v>
      </c>
      <c r="D63">
        <v>47275</v>
      </c>
      <c r="E63">
        <v>57953</v>
      </c>
      <c r="F63">
        <v>56229</v>
      </c>
      <c r="G63">
        <v>25682</v>
      </c>
      <c r="H63">
        <v>10480</v>
      </c>
      <c r="I63">
        <v>7248</v>
      </c>
      <c r="J63">
        <v>37814</v>
      </c>
      <c r="K63">
        <v>15094</v>
      </c>
      <c r="L63">
        <v>10777</v>
      </c>
      <c r="M63">
        <v>16947</v>
      </c>
      <c r="N63">
        <v>394468889</v>
      </c>
      <c r="O63">
        <v>394428872</v>
      </c>
      <c r="P63">
        <v>394428889</v>
      </c>
      <c r="Q63">
        <v>394428889</v>
      </c>
      <c r="R63">
        <v>394428889</v>
      </c>
      <c r="S63">
        <v>394428872</v>
      </c>
      <c r="T63">
        <v>394468883</v>
      </c>
      <c r="U63">
        <v>394468868</v>
      </c>
      <c r="V63">
        <v>394468889</v>
      </c>
      <c r="W63">
        <v>394468875</v>
      </c>
      <c r="X63">
        <v>394448889</v>
      </c>
      <c r="Y63">
        <v>394468889</v>
      </c>
    </row>
    <row r="64" spans="2:25">
      <c r="B64">
        <v>66872</v>
      </c>
      <c r="C64">
        <v>27155</v>
      </c>
      <c r="D64">
        <v>48973</v>
      </c>
      <c r="E64">
        <v>56515</v>
      </c>
      <c r="F64">
        <v>57741</v>
      </c>
      <c r="G64">
        <v>25799</v>
      </c>
      <c r="H64">
        <v>10034</v>
      </c>
      <c r="I64">
        <v>7361</v>
      </c>
      <c r="J64">
        <v>37388</v>
      </c>
      <c r="K64">
        <v>14542</v>
      </c>
      <c r="L64">
        <v>10828</v>
      </c>
      <c r="M64">
        <v>16819</v>
      </c>
      <c r="N64">
        <v>394468889</v>
      </c>
      <c r="O64">
        <v>394428872</v>
      </c>
      <c r="P64">
        <v>394428889</v>
      </c>
      <c r="Q64">
        <v>394428889</v>
      </c>
      <c r="R64">
        <v>394428889</v>
      </c>
      <c r="S64">
        <v>394428872</v>
      </c>
      <c r="T64">
        <v>394468883</v>
      </c>
      <c r="U64">
        <v>394468868</v>
      </c>
      <c r="V64">
        <v>394468889</v>
      </c>
      <c r="W64">
        <v>394468875</v>
      </c>
      <c r="X64">
        <v>394448889</v>
      </c>
      <c r="Y64">
        <v>394468889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160127</v>
      </c>
      <c r="C68">
        <v>65176</v>
      </c>
      <c r="D68">
        <v>134592</v>
      </c>
      <c r="E68">
        <v>126009</v>
      </c>
      <c r="F68">
        <v>82020</v>
      </c>
      <c r="G68">
        <v>52605</v>
      </c>
      <c r="H68">
        <v>20236</v>
      </c>
      <c r="I68">
        <v>9903</v>
      </c>
      <c r="J68">
        <v>79879</v>
      </c>
      <c r="K68">
        <v>83994</v>
      </c>
      <c r="L68">
        <v>24962</v>
      </c>
      <c r="M68">
        <v>35015</v>
      </c>
    </row>
    <row r="69" spans="2:13">
      <c r="B69">
        <v>157945</v>
      </c>
      <c r="C69">
        <v>66326</v>
      </c>
      <c r="D69">
        <v>131237</v>
      </c>
      <c r="E69">
        <v>126021</v>
      </c>
      <c r="F69">
        <v>83931</v>
      </c>
      <c r="G69">
        <v>49269</v>
      </c>
      <c r="H69">
        <v>20322</v>
      </c>
      <c r="I69">
        <v>10564</v>
      </c>
      <c r="J69">
        <v>77131</v>
      </c>
      <c r="K69">
        <v>83687</v>
      </c>
      <c r="L69">
        <v>24226</v>
      </c>
      <c r="M69">
        <v>35979</v>
      </c>
    </row>
    <row r="70" spans="2:13">
      <c r="B70">
        <v>160103</v>
      </c>
      <c r="C70">
        <v>63834</v>
      </c>
      <c r="D70">
        <v>133116</v>
      </c>
      <c r="E70">
        <v>130058</v>
      </c>
      <c r="F70">
        <v>84508</v>
      </c>
      <c r="G70">
        <v>50089</v>
      </c>
      <c r="H70">
        <v>20562</v>
      </c>
      <c r="I70">
        <v>9874</v>
      </c>
      <c r="J70">
        <v>78686</v>
      </c>
      <c r="K70">
        <v>82383</v>
      </c>
      <c r="L70">
        <v>24900</v>
      </c>
      <c r="M70">
        <v>39447</v>
      </c>
    </row>
    <row r="71" spans="2:13">
      <c r="B71">
        <v>159350</v>
      </c>
      <c r="C71">
        <v>64754</v>
      </c>
      <c r="D71">
        <v>130020</v>
      </c>
      <c r="E71">
        <v>124276</v>
      </c>
      <c r="F71">
        <v>79890</v>
      </c>
      <c r="G71">
        <v>51397</v>
      </c>
      <c r="H71">
        <v>20966</v>
      </c>
      <c r="I71">
        <v>9779</v>
      </c>
      <c r="J71">
        <v>78446</v>
      </c>
      <c r="K71">
        <v>82547</v>
      </c>
      <c r="L71">
        <v>27645</v>
      </c>
      <c r="M71">
        <v>35387</v>
      </c>
    </row>
    <row r="72" spans="2:13">
      <c r="B72">
        <v>158337</v>
      </c>
      <c r="C72">
        <v>64748</v>
      </c>
      <c r="D72">
        <v>134347</v>
      </c>
      <c r="E72">
        <v>124846</v>
      </c>
      <c r="F72">
        <v>81227</v>
      </c>
      <c r="G72">
        <v>54231</v>
      </c>
      <c r="H72">
        <v>22103</v>
      </c>
      <c r="I72">
        <v>9791</v>
      </c>
      <c r="J72">
        <v>78981</v>
      </c>
      <c r="K72">
        <v>80617</v>
      </c>
      <c r="L72">
        <v>23859</v>
      </c>
      <c r="M72">
        <v>34999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M39" sqref="M39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42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AVERAGE(Table47[Newtonsoft])</f>
        <v>341</v>
      </c>
      <c r="D38" s="2">
        <f>AVERAGE(Table47[Revenj])</f>
        <v>337.6</v>
      </c>
      <c r="E38" s="2">
        <f>AVERAGE(Table47[fastJSON])</f>
        <v>346</v>
      </c>
      <c r="F38" s="2">
        <f>AVERAGE(Table47[Service Stack])</f>
        <v>353.4</v>
      </c>
      <c r="G38" s="2">
        <f>AVERAGE(Table47[Jil])</f>
        <v>341</v>
      </c>
      <c r="H38" s="2">
        <f>AVERAGE(Table47[NetJSON])</f>
        <v>347</v>
      </c>
      <c r="I38" s="2">
        <f>AVERAGE(Table47[Jackson])</f>
        <v>367.4</v>
      </c>
      <c r="J38" s="2">
        <f>AVERAGE(Table47[DSL Platform Java])</f>
        <v>333.4</v>
      </c>
      <c r="K38" s="2">
        <f>AVERAGE(Table47[Genson])</f>
        <v>372</v>
      </c>
      <c r="L38" s="2">
        <f>AVERAGE(Table47[Boon])</f>
        <v>372.6</v>
      </c>
      <c r="M38" s="2">
        <f>AVERAGE(Table47[Alibaba])</f>
        <v>378.6</v>
      </c>
      <c r="N38" s="2">
        <f>AVERAGE(Table47[Gson])</f>
        <v>372.4</v>
      </c>
      <c r="O38" s="2"/>
      <c r="P38" s="2"/>
      <c r="Q38" s="2"/>
    </row>
    <row r="39" spans="2:17">
      <c r="B39" t="s">
        <v>0</v>
      </c>
      <c r="C39" s="2">
        <f>AVERAGE(Table46[Newtonsoft]) - C38</f>
        <v>559.79999999999995</v>
      </c>
      <c r="D39" s="2">
        <f>AVERAGE(Table46[Revenj]) - D38</f>
        <v>208.39999999999998</v>
      </c>
      <c r="E39" s="2">
        <f>AVERAGE(Table46[fastJSON]) - E38</f>
        <v>1075.2</v>
      </c>
      <c r="F39" s="2">
        <f>AVERAGE(Table46[Service Stack]) - F38</f>
        <v>579.20000000000005</v>
      </c>
      <c r="G39" s="2">
        <f>AVERAGE(Table46[Jil]) - G38</f>
        <v>580.20000000000005</v>
      </c>
      <c r="H39" s="2" t="e">
        <f>AVERAGE(Table46[NetJSON]) - H38</f>
        <v>#DIV/0!</v>
      </c>
      <c r="I39" s="2">
        <f>AVERAGE(Table46[Jackson]) - I38</f>
        <v>270.60000000000002</v>
      </c>
      <c r="J39" s="2">
        <f>AVERAGE(Table46[DSL Platform Java]) - J38</f>
        <v>71.400000000000034</v>
      </c>
      <c r="K39" s="2">
        <f>AVERAGE(Table46[Genson]) - K38</f>
        <v>579.4</v>
      </c>
      <c r="L39" s="2">
        <f>AVERAGE(Table46[Boon]) - L38</f>
        <v>305.19999999999993</v>
      </c>
      <c r="M39" s="4" t="s">
        <v>54</v>
      </c>
      <c r="N39" s="2">
        <f>AVERAGE(Table46[Gson]) - N38</f>
        <v>526.6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1115.8</v>
      </c>
      <c r="D40" s="2">
        <f t="shared" si="0"/>
        <v>419.6</v>
      </c>
      <c r="E40" s="2">
        <f t="shared" ref="E40" si="1">E41 - E39 - E38</f>
        <v>1075.8</v>
      </c>
      <c r="F40" s="2">
        <f t="shared" si="0"/>
        <v>1080</v>
      </c>
      <c r="G40" s="2">
        <f t="shared" si="0"/>
        <v>444.79999999999995</v>
      </c>
      <c r="H40" s="2" t="e">
        <f t="shared" si="0"/>
        <v>#DIV/0!</v>
      </c>
      <c r="I40" s="2">
        <f t="shared" ref="I40" si="2">I41 - I39 - I38</f>
        <v>449.59999999999991</v>
      </c>
      <c r="J40" s="2">
        <f t="shared" ref="J40" si="3">J41 - J39 - J38</f>
        <v>70.800000000000011</v>
      </c>
      <c r="K40" s="2">
        <f t="shared" ref="K40:L40" si="4">K41 - K39 - K38</f>
        <v>457.19999999999993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736.4000000000002</v>
      </c>
      <c r="O40" s="2"/>
      <c r="P40" s="2"/>
      <c r="Q40" s="2"/>
    </row>
    <row r="41" spans="2:17">
      <c r="B41" t="s">
        <v>25</v>
      </c>
      <c r="C41" s="2">
        <f>AVERAGE(Table48[Newtonsoft])</f>
        <v>2016.6</v>
      </c>
      <c r="D41" s="2">
        <f>AVERAGE(Table48[Revenj])</f>
        <v>965.6</v>
      </c>
      <c r="E41" s="2">
        <f>AVERAGE(Table48[fastJSON])</f>
        <v>2497</v>
      </c>
      <c r="F41" s="2">
        <f>AVERAGE(Table48[Service Stack])</f>
        <v>2012.6</v>
      </c>
      <c r="G41" s="2">
        <f>AVERAGE(Table48[Jil])</f>
        <v>1366</v>
      </c>
      <c r="H41" s="2" t="e">
        <f>AVERAGE(Table48[NetJSON])</f>
        <v>#DIV/0!</v>
      </c>
      <c r="I41" s="2">
        <f>AVERAGE(Table48[Jackson])</f>
        <v>1087.5999999999999</v>
      </c>
      <c r="J41" s="2">
        <f>AVERAGE(Table48[DSL Platform Java])</f>
        <v>475.6</v>
      </c>
      <c r="K41" s="2">
        <f>AVERAGE(Table48[Genson])</f>
        <v>1408.6</v>
      </c>
      <c r="L41" s="2" t="e">
        <f>AVERAGE(Table48[Boon])</f>
        <v>#DIV/0!</v>
      </c>
      <c r="M41" s="4" t="s">
        <v>54</v>
      </c>
      <c r="N41" s="2">
        <f>AVERAGE(Table48[Gson])</f>
        <v>1635.4</v>
      </c>
      <c r="O41" s="2"/>
      <c r="P41" s="2"/>
      <c r="Q41" s="2"/>
    </row>
    <row r="42" spans="2:17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AVERAGE(Table46[fastJSON (size)])</f>
        <v>10738890</v>
      </c>
      <c r="F42" s="3">
        <f>AVERAGE(Table46[Service Stack (size)])</f>
        <v>11838890</v>
      </c>
      <c r="G42" s="2">
        <f>AVERAGE(Table46[Jil (size)])</f>
        <v>12238890</v>
      </c>
      <c r="H42" s="2" t="e">
        <f>AVERAGE(Table46[NetJSON (size)])</f>
        <v>#DIV/0!</v>
      </c>
      <c r="I42" s="2">
        <f>AVERAGE(Table46[Jackson (size)])</f>
        <v>10188890</v>
      </c>
      <c r="J42" s="2">
        <f>AVERAGE(Table46[DSL Platform Java (size)])</f>
        <v>10188890</v>
      </c>
      <c r="K42" s="2">
        <f>AVERAGE(Table46[Genson (size)])</f>
        <v>10938890</v>
      </c>
      <c r="L42" s="2">
        <f>AVERAGE(Table46[Boon (size)])</f>
        <v>8988890</v>
      </c>
      <c r="M42" s="4" t="s">
        <v>54</v>
      </c>
      <c r="N42" s="2">
        <f>AVERAGE(Table46[Gson (size)])</f>
        <v>10938890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DEVSQ(Table46[Newtonsoft])</f>
        <v>340.8</v>
      </c>
      <c r="D47" s="2">
        <f>DEVSQ(Table46[Revenj])</f>
        <v>86</v>
      </c>
      <c r="E47" s="2">
        <f>DEVSQ(Table46[fastJSON])</f>
        <v>2320.8000000000002</v>
      </c>
      <c r="F47" s="2">
        <f>DEVSQ(Table46[Service Stack])</f>
        <v>429.19999999999993</v>
      </c>
      <c r="G47" s="2">
        <f>DEVSQ(Table46[Jil])</f>
        <v>1532.7999999999997</v>
      </c>
      <c r="H47" s="2" t="e">
        <f>DEVSQ(Table46[NetJSON])</f>
        <v>#NUM!</v>
      </c>
      <c r="I47" s="2">
        <f>DEVSQ(Table46[Jackson])</f>
        <v>590</v>
      </c>
      <c r="J47" s="2">
        <f>DEVSQ(Table46[DSL Platform Java])</f>
        <v>450.79999999999995</v>
      </c>
      <c r="K47" s="2">
        <f>DEVSQ(Table46[Genson])</f>
        <v>1231.1999999999998</v>
      </c>
      <c r="L47" s="2">
        <f>DEVSQ(Table46[Boon])</f>
        <v>222.8</v>
      </c>
      <c r="M47" s="2">
        <f>DEVSQ(Table46[Alibaba])</f>
        <v>18070.8</v>
      </c>
      <c r="N47" s="2">
        <f>DEVSQ(Table46[Gson])</f>
        <v>9938</v>
      </c>
      <c r="O47" s="2"/>
      <c r="P47" s="2"/>
      <c r="Q47" s="2"/>
    </row>
    <row r="48" spans="2:17">
      <c r="B48" t="s">
        <v>25</v>
      </c>
      <c r="C48" s="2">
        <f>DEVSQ(Table48[Newtonsoft])</f>
        <v>591.20000000000005</v>
      </c>
      <c r="D48" s="2">
        <f>DEVSQ(Table48[Revenj])</f>
        <v>947.19999999999993</v>
      </c>
      <c r="E48" s="2">
        <f>DEVSQ(Table48[fastJSON])</f>
        <v>830</v>
      </c>
      <c r="F48" s="2">
        <f>DEVSQ(Table48[Service Stack])</f>
        <v>751.2</v>
      </c>
      <c r="G48" s="2">
        <f>DEVSQ(Table48[Jil])</f>
        <v>574</v>
      </c>
      <c r="H48" s="2" t="e">
        <f>DEVSQ(Table48[NetJSON])</f>
        <v>#NUM!</v>
      </c>
      <c r="I48" s="2">
        <f>DEVSQ(Table48[Jackson])</f>
        <v>1281.2</v>
      </c>
      <c r="J48" s="2">
        <f>DEVSQ(Table48[DSL Platform Java])</f>
        <v>593.19999999999993</v>
      </c>
      <c r="K48" s="2">
        <f>DEVSQ(Table48[Genson])</f>
        <v>68299.199999999997</v>
      </c>
      <c r="L48" s="2" t="e">
        <f>DEVSQ(Table48[Boon])</f>
        <v>#NUM!</v>
      </c>
      <c r="M48" s="2">
        <f>DEVSQ(Table48[Alibaba])</f>
        <v>128256.80000000002</v>
      </c>
      <c r="N48" s="2">
        <f>DEVSQ(Table48[Gson])</f>
        <v>27233.199999999997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349</v>
      </c>
      <c r="C52">
        <v>335</v>
      </c>
      <c r="D52">
        <v>351</v>
      </c>
      <c r="E52">
        <v>366</v>
      </c>
      <c r="F52">
        <v>335</v>
      </c>
      <c r="G52">
        <v>359</v>
      </c>
      <c r="H52">
        <v>368</v>
      </c>
      <c r="I52">
        <v>325</v>
      </c>
      <c r="J52">
        <v>377</v>
      </c>
      <c r="K52">
        <v>389</v>
      </c>
      <c r="L52">
        <v>372</v>
      </c>
      <c r="M52">
        <v>379</v>
      </c>
    </row>
    <row r="53" spans="2:25">
      <c r="B53">
        <v>334</v>
      </c>
      <c r="C53">
        <v>336</v>
      </c>
      <c r="D53">
        <v>337</v>
      </c>
      <c r="E53">
        <v>346</v>
      </c>
      <c r="F53">
        <v>344</v>
      </c>
      <c r="G53">
        <v>353</v>
      </c>
      <c r="H53">
        <v>369</v>
      </c>
      <c r="I53">
        <v>337</v>
      </c>
      <c r="J53">
        <v>374</v>
      </c>
      <c r="K53">
        <v>369</v>
      </c>
      <c r="L53">
        <v>382</v>
      </c>
      <c r="M53">
        <v>371</v>
      </c>
    </row>
    <row r="54" spans="2:25">
      <c r="B54">
        <v>334</v>
      </c>
      <c r="C54">
        <v>334</v>
      </c>
      <c r="D54">
        <v>346</v>
      </c>
      <c r="E54">
        <v>353</v>
      </c>
      <c r="F54">
        <v>347</v>
      </c>
      <c r="G54">
        <v>346</v>
      </c>
      <c r="H54">
        <v>366</v>
      </c>
      <c r="I54">
        <v>340</v>
      </c>
      <c r="J54">
        <v>364</v>
      </c>
      <c r="K54">
        <v>373</v>
      </c>
      <c r="L54">
        <v>384</v>
      </c>
      <c r="M54">
        <v>371</v>
      </c>
    </row>
    <row r="55" spans="2:25">
      <c r="B55">
        <v>338</v>
      </c>
      <c r="C55">
        <v>348</v>
      </c>
      <c r="D55">
        <v>349</v>
      </c>
      <c r="E55">
        <v>348</v>
      </c>
      <c r="F55">
        <v>340</v>
      </c>
      <c r="G55">
        <v>343</v>
      </c>
      <c r="H55">
        <v>368</v>
      </c>
      <c r="I55">
        <v>331</v>
      </c>
      <c r="J55">
        <v>369</v>
      </c>
      <c r="K55">
        <v>365</v>
      </c>
      <c r="L55">
        <v>374</v>
      </c>
      <c r="M55">
        <v>375</v>
      </c>
    </row>
    <row r="56" spans="2:25">
      <c r="B56">
        <v>350</v>
      </c>
      <c r="C56">
        <v>335</v>
      </c>
      <c r="D56">
        <v>347</v>
      </c>
      <c r="E56">
        <v>354</v>
      </c>
      <c r="F56">
        <v>339</v>
      </c>
      <c r="G56">
        <v>334</v>
      </c>
      <c r="H56">
        <v>366</v>
      </c>
      <c r="I56">
        <v>334</v>
      </c>
      <c r="J56">
        <v>376</v>
      </c>
      <c r="K56">
        <v>367</v>
      </c>
      <c r="L56">
        <v>381</v>
      </c>
      <c r="M56">
        <v>366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896</v>
      </c>
      <c r="C60">
        <v>549</v>
      </c>
      <c r="D60">
        <v>1439</v>
      </c>
      <c r="E60">
        <v>939</v>
      </c>
      <c r="F60">
        <v>921</v>
      </c>
      <c r="H60">
        <v>640</v>
      </c>
      <c r="I60">
        <v>404</v>
      </c>
      <c r="J60">
        <v>965</v>
      </c>
      <c r="K60">
        <v>679</v>
      </c>
      <c r="L60">
        <v>2595</v>
      </c>
      <c r="M60">
        <v>901</v>
      </c>
      <c r="N60">
        <v>11938890</v>
      </c>
      <c r="O60">
        <v>10188890</v>
      </c>
      <c r="P60">
        <v>10738890</v>
      </c>
      <c r="Q60">
        <v>11838890</v>
      </c>
      <c r="R60">
        <v>12238890</v>
      </c>
      <c r="T60">
        <v>10188890</v>
      </c>
      <c r="U60">
        <v>10188890</v>
      </c>
      <c r="V60">
        <v>10938890</v>
      </c>
      <c r="W60">
        <v>8988890</v>
      </c>
      <c r="X60">
        <v>195987050</v>
      </c>
      <c r="Y60">
        <v>10938890</v>
      </c>
    </row>
    <row r="61" spans="2:25">
      <c r="B61">
        <v>902</v>
      </c>
      <c r="C61">
        <v>542</v>
      </c>
      <c r="D61">
        <v>1442</v>
      </c>
      <c r="E61">
        <v>942</v>
      </c>
      <c r="F61">
        <v>912</v>
      </c>
      <c r="H61">
        <v>644</v>
      </c>
      <c r="I61">
        <v>396</v>
      </c>
      <c r="J61">
        <v>946</v>
      </c>
      <c r="K61">
        <v>667</v>
      </c>
      <c r="L61">
        <v>2501</v>
      </c>
      <c r="M61">
        <v>874</v>
      </c>
      <c r="N61">
        <v>11938890</v>
      </c>
      <c r="O61">
        <v>10188890</v>
      </c>
      <c r="P61">
        <v>10738890</v>
      </c>
      <c r="Q61">
        <v>11838890</v>
      </c>
      <c r="R61">
        <v>12238890</v>
      </c>
      <c r="T61">
        <v>10188890</v>
      </c>
      <c r="U61">
        <v>10188890</v>
      </c>
      <c r="V61">
        <v>10938890</v>
      </c>
      <c r="W61">
        <v>8988890</v>
      </c>
      <c r="X61">
        <v>195987050</v>
      </c>
      <c r="Y61">
        <v>10938890</v>
      </c>
    </row>
    <row r="62" spans="2:25">
      <c r="B62">
        <v>898</v>
      </c>
      <c r="C62">
        <v>546</v>
      </c>
      <c r="D62">
        <v>1405</v>
      </c>
      <c r="E62">
        <v>919</v>
      </c>
      <c r="F62">
        <v>895</v>
      </c>
      <c r="H62">
        <v>617</v>
      </c>
      <c r="I62">
        <v>417</v>
      </c>
      <c r="J62">
        <v>974</v>
      </c>
      <c r="K62">
        <v>674</v>
      </c>
      <c r="L62">
        <v>2628</v>
      </c>
      <c r="M62">
        <v>859</v>
      </c>
      <c r="N62">
        <v>11938890</v>
      </c>
      <c r="O62">
        <v>10188890</v>
      </c>
      <c r="P62">
        <v>10738890</v>
      </c>
      <c r="Q62">
        <v>11838890</v>
      </c>
      <c r="R62">
        <v>12238890</v>
      </c>
      <c r="T62">
        <v>10188890</v>
      </c>
      <c r="U62">
        <v>10188890</v>
      </c>
      <c r="V62">
        <v>10938890</v>
      </c>
      <c r="W62">
        <v>8988890</v>
      </c>
      <c r="X62">
        <v>195987050</v>
      </c>
      <c r="Y62">
        <v>10938890</v>
      </c>
    </row>
    <row r="63" spans="2:25">
      <c r="B63">
        <v>892</v>
      </c>
      <c r="C63">
        <v>541</v>
      </c>
      <c r="D63">
        <v>1433</v>
      </c>
      <c r="E63">
        <v>939</v>
      </c>
      <c r="F63">
        <v>947</v>
      </c>
      <c r="H63">
        <v>648</v>
      </c>
      <c r="I63">
        <v>414</v>
      </c>
      <c r="J63">
        <v>932</v>
      </c>
      <c r="K63">
        <v>684</v>
      </c>
      <c r="L63">
        <v>2559</v>
      </c>
      <c r="M63">
        <v>877</v>
      </c>
      <c r="N63">
        <v>11938890</v>
      </c>
      <c r="O63">
        <v>10188890</v>
      </c>
      <c r="P63">
        <v>10738890</v>
      </c>
      <c r="Q63">
        <v>11838890</v>
      </c>
      <c r="R63">
        <v>12238890</v>
      </c>
      <c r="T63">
        <v>10188890</v>
      </c>
      <c r="U63">
        <v>10188890</v>
      </c>
      <c r="V63">
        <v>10938890</v>
      </c>
      <c r="W63">
        <v>8988890</v>
      </c>
      <c r="X63">
        <v>195987050</v>
      </c>
      <c r="Y63">
        <v>10938890</v>
      </c>
    </row>
    <row r="64" spans="2:25">
      <c r="B64">
        <v>916</v>
      </c>
      <c r="C64">
        <v>552</v>
      </c>
      <c r="D64">
        <v>1387</v>
      </c>
      <c r="E64">
        <v>924</v>
      </c>
      <c r="F64">
        <v>931</v>
      </c>
      <c r="H64">
        <v>641</v>
      </c>
      <c r="I64">
        <v>393</v>
      </c>
      <c r="J64">
        <v>940</v>
      </c>
      <c r="K64">
        <v>685</v>
      </c>
      <c r="L64">
        <v>2678</v>
      </c>
      <c r="M64">
        <v>984</v>
      </c>
      <c r="N64">
        <v>11938890</v>
      </c>
      <c r="O64">
        <v>10188890</v>
      </c>
      <c r="P64">
        <v>10738890</v>
      </c>
      <c r="Q64">
        <v>11838890</v>
      </c>
      <c r="R64">
        <v>12238890</v>
      </c>
      <c r="T64">
        <v>10188890</v>
      </c>
      <c r="U64">
        <v>10188890</v>
      </c>
      <c r="V64">
        <v>10938890</v>
      </c>
      <c r="W64">
        <v>8988890</v>
      </c>
      <c r="X64">
        <v>195987050</v>
      </c>
      <c r="Y64">
        <v>10938890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2016</v>
      </c>
      <c r="C68">
        <v>982</v>
      </c>
      <c r="D68">
        <v>2521</v>
      </c>
      <c r="E68">
        <v>2028</v>
      </c>
      <c r="F68">
        <v>1368</v>
      </c>
      <c r="H68">
        <v>1093</v>
      </c>
      <c r="I68">
        <v>459</v>
      </c>
      <c r="J68">
        <v>1342</v>
      </c>
      <c r="L68">
        <v>5493</v>
      </c>
      <c r="M68">
        <v>1607</v>
      </c>
    </row>
    <row r="69" spans="2:13">
      <c r="B69">
        <v>2008</v>
      </c>
      <c r="C69">
        <v>942</v>
      </c>
      <c r="D69">
        <v>2498</v>
      </c>
      <c r="E69">
        <v>2010</v>
      </c>
      <c r="F69">
        <v>1377</v>
      </c>
      <c r="H69">
        <v>1065</v>
      </c>
      <c r="I69">
        <v>488</v>
      </c>
      <c r="J69">
        <v>1360</v>
      </c>
      <c r="L69">
        <v>5949</v>
      </c>
      <c r="M69">
        <v>1507</v>
      </c>
    </row>
    <row r="70" spans="2:13">
      <c r="B70">
        <v>2034</v>
      </c>
      <c r="C70">
        <v>970</v>
      </c>
      <c r="D70">
        <v>2494</v>
      </c>
      <c r="E70">
        <v>2024</v>
      </c>
      <c r="F70">
        <v>1366</v>
      </c>
      <c r="H70">
        <v>1082</v>
      </c>
      <c r="I70">
        <v>487</v>
      </c>
      <c r="J70">
        <v>1354</v>
      </c>
      <c r="L70">
        <v>5672</v>
      </c>
      <c r="M70">
        <v>1718</v>
      </c>
    </row>
    <row r="71" spans="2:13">
      <c r="B71">
        <v>2003</v>
      </c>
      <c r="C71">
        <v>960</v>
      </c>
      <c r="D71">
        <v>2487</v>
      </c>
      <c r="E71">
        <v>1994</v>
      </c>
      <c r="F71">
        <v>1346</v>
      </c>
      <c r="H71">
        <v>1114</v>
      </c>
      <c r="I71">
        <v>474</v>
      </c>
      <c r="J71">
        <v>1642</v>
      </c>
      <c r="L71">
        <v>5779</v>
      </c>
      <c r="M71">
        <v>1659</v>
      </c>
    </row>
    <row r="72" spans="2:13">
      <c r="B72">
        <v>2022</v>
      </c>
      <c r="C72">
        <v>974</v>
      </c>
      <c r="D72">
        <v>2485</v>
      </c>
      <c r="E72">
        <v>2007</v>
      </c>
      <c r="F72">
        <v>1373</v>
      </c>
      <c r="H72">
        <v>1084</v>
      </c>
      <c r="I72">
        <v>470</v>
      </c>
      <c r="J72">
        <v>1345</v>
      </c>
      <c r="L72">
        <v>5571</v>
      </c>
      <c r="M72">
        <v>1686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M39" sqref="M39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43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AVERAGE(Table52[Newtonsoft])</f>
        <v>3252.2</v>
      </c>
      <c r="D38" s="2">
        <f>AVERAGE(Table52[Revenj])</f>
        <v>3298.4</v>
      </c>
      <c r="E38" s="2">
        <f>AVERAGE(Table52[fastJSON])</f>
        <v>3387.6</v>
      </c>
      <c r="F38" s="2">
        <f>AVERAGE(Table52[Service Stack])</f>
        <v>3310.8</v>
      </c>
      <c r="G38" s="2">
        <f>AVERAGE(Table52[Jil])</f>
        <v>3382.8</v>
      </c>
      <c r="H38" s="2">
        <f>AVERAGE(Table52[NetJSON])</f>
        <v>3380.4</v>
      </c>
      <c r="I38" s="2">
        <f>AVERAGE(Table52[Jackson])</f>
        <v>2578.1999999999998</v>
      </c>
      <c r="J38" s="2">
        <f>AVERAGE(Table52[DSL Platform Java])</f>
        <v>2515.4</v>
      </c>
      <c r="K38" s="2">
        <f>AVERAGE(Table52[Genson])</f>
        <v>2538</v>
      </c>
      <c r="L38" s="2">
        <f>AVERAGE(Table52[Boon])</f>
        <v>2546</v>
      </c>
      <c r="M38" s="2">
        <f>AVERAGE(Table52[Alibaba])</f>
        <v>2476.8000000000002</v>
      </c>
      <c r="N38" s="2">
        <f>AVERAGE(Table52[Gson])</f>
        <v>2556.1999999999998</v>
      </c>
      <c r="O38" s="2"/>
      <c r="P38" s="2"/>
      <c r="Q38" s="2"/>
    </row>
    <row r="39" spans="2:17">
      <c r="B39" t="s">
        <v>0</v>
      </c>
      <c r="C39" s="2">
        <f>AVERAGE(Table51[Newtonsoft]) - C38</f>
        <v>5552.4000000000005</v>
      </c>
      <c r="D39" s="2">
        <f>AVERAGE(Table51[Revenj]) - D38</f>
        <v>2064.6</v>
      </c>
      <c r="E39" s="2">
        <f>AVERAGE(Table51[fastJSON]) - E38</f>
        <v>10457</v>
      </c>
      <c r="F39" s="2">
        <f>AVERAGE(Table51[Service Stack]) - F38</f>
        <v>5858.8</v>
      </c>
      <c r="G39" s="2">
        <f>AVERAGE(Table51[Jil]) - G38</f>
        <v>5488.5999999999995</v>
      </c>
      <c r="H39" s="2" t="e">
        <f>AVERAGE(Table51[NetJSON]) - H38</f>
        <v>#DIV/0!</v>
      </c>
      <c r="I39" s="2">
        <f>AVERAGE(Table51[Jackson]) - I38</f>
        <v>1910.1999999999998</v>
      </c>
      <c r="J39" s="2">
        <f>AVERAGE(Table51[DSL Platform Java]) - J38</f>
        <v>402.40000000000009</v>
      </c>
      <c r="K39" s="2">
        <f>AVERAGE(Table51[Genson]) - K38</f>
        <v>4744.3999999999996</v>
      </c>
      <c r="L39" s="2">
        <f>AVERAGE(Table51[Boon]) - L38</f>
        <v>2299.1999999999998</v>
      </c>
      <c r="M39" s="4" t="s">
        <v>54</v>
      </c>
      <c r="N39" s="2">
        <f>AVERAGE(Table51[Gson]) - N38</f>
        <v>3177.4000000000005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11148.199999999997</v>
      </c>
      <c r="D40" s="2">
        <f t="shared" si="0"/>
        <v>4278</v>
      </c>
      <c r="E40" s="2">
        <f t="shared" ref="E40" si="1">E41 - E39 - E38</f>
        <v>11034.999999999998</v>
      </c>
      <c r="F40" s="2">
        <f t="shared" si="0"/>
        <v>10613.2</v>
      </c>
      <c r="G40" s="2">
        <f t="shared" si="0"/>
        <v>4184.8000000000011</v>
      </c>
      <c r="H40" s="2" t="e">
        <f t="shared" si="0"/>
        <v>#DIV/0!</v>
      </c>
      <c r="I40" s="2">
        <f t="shared" ref="I40" si="2">I41 - I39 - I38</f>
        <v>2487.4000000000005</v>
      </c>
      <c r="J40" s="2">
        <f t="shared" ref="J40" si="3">J41 - J39 - J38</f>
        <v>690.19999999999982</v>
      </c>
      <c r="K40" s="2">
        <f t="shared" ref="K40:L40" si="4">K41 - K39 - K38</f>
        <v>4230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4893.7999999999993</v>
      </c>
      <c r="O40" s="2"/>
      <c r="P40" s="2"/>
      <c r="Q40" s="2"/>
    </row>
    <row r="41" spans="2:17">
      <c r="B41" t="s">
        <v>25</v>
      </c>
      <c r="C41" s="2">
        <f>AVERAGE(Table53[Newtonsoft])</f>
        <v>19952.8</v>
      </c>
      <c r="D41" s="2">
        <f>AVERAGE(Table53[Revenj])</f>
        <v>9641</v>
      </c>
      <c r="E41" s="2">
        <f>AVERAGE(Table53[fastJSON])</f>
        <v>24879.599999999999</v>
      </c>
      <c r="F41" s="2">
        <f>AVERAGE(Table53[Service Stack])</f>
        <v>19782.8</v>
      </c>
      <c r="G41" s="2">
        <f>AVERAGE(Table53[Jil])</f>
        <v>13056.2</v>
      </c>
      <c r="H41" s="2" t="e">
        <f>AVERAGE(Table53[NetJSON])</f>
        <v>#DIV/0!</v>
      </c>
      <c r="I41" s="2">
        <f>AVERAGE(Table53[Jackson])</f>
        <v>6975.8</v>
      </c>
      <c r="J41" s="2">
        <f>AVERAGE(Table53[DSL Platform Java])</f>
        <v>3608</v>
      </c>
      <c r="K41" s="2">
        <f>AVERAGE(Table53[Genson])</f>
        <v>11512.4</v>
      </c>
      <c r="L41" s="2" t="e">
        <f>AVERAGE(Table53[Boon])</f>
        <v>#DIV/0!</v>
      </c>
      <c r="M41" s="4" t="s">
        <v>54</v>
      </c>
      <c r="N41" s="2">
        <f>AVERAGE(Table53[Gson])</f>
        <v>10627.4</v>
      </c>
      <c r="O41" s="2"/>
      <c r="P41" s="2"/>
      <c r="Q41" s="2"/>
    </row>
    <row r="42" spans="2:17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AVERAGE(Table51[fastJSON (size)])</f>
        <v>108388890</v>
      </c>
      <c r="F42" s="3">
        <f>AVERAGE(Table51[Service Stack (size)])</f>
        <v>119388890</v>
      </c>
      <c r="G42" s="2">
        <f>AVERAGE(Table51[Jil (size)])</f>
        <v>123388890</v>
      </c>
      <c r="H42" s="2" t="e">
        <f>AVERAGE(Table51[NetJSON (size)])</f>
        <v>#DIV/0!</v>
      </c>
      <c r="I42" s="2">
        <f>AVERAGE(Table51[Jackson (size)])</f>
        <v>102888890</v>
      </c>
      <c r="J42" s="2">
        <f>AVERAGE(Table51[DSL Platform Java (size)])</f>
        <v>102888890</v>
      </c>
      <c r="K42" s="2">
        <f>AVERAGE(Table51[Genson (size)])</f>
        <v>110388890</v>
      </c>
      <c r="L42" s="2">
        <f>AVERAGE(Table51[Boon (size)])</f>
        <v>90888890</v>
      </c>
      <c r="M42" s="4" t="s">
        <v>54</v>
      </c>
      <c r="N42" s="2">
        <f>AVERAGE(Table51[Gson (size)])</f>
        <v>110388890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DEVSQ(Table51[Newtonsoft])</f>
        <v>126187.20000000001</v>
      </c>
      <c r="D47" s="2">
        <f>DEVSQ(Table51[Revenj])</f>
        <v>45520</v>
      </c>
      <c r="E47" s="2">
        <f>DEVSQ(Table51[fastJSON])</f>
        <v>93371.199999999983</v>
      </c>
      <c r="F47" s="2">
        <f>DEVSQ(Table51[Service Stack])</f>
        <v>45523.199999999997</v>
      </c>
      <c r="G47" s="2">
        <f>DEVSQ(Table51[Jil])</f>
        <v>22859.200000000001</v>
      </c>
      <c r="H47" s="2" t="e">
        <f>DEVSQ(Table51[NetJSON])</f>
        <v>#NUM!</v>
      </c>
      <c r="I47" s="2">
        <f>DEVSQ(Table51[Jackson])</f>
        <v>21015.200000000001</v>
      </c>
      <c r="J47" s="2">
        <f>DEVSQ(Table51[DSL Platform Java])</f>
        <v>2386.8000000000002</v>
      </c>
      <c r="K47" s="2">
        <f>DEVSQ(Table51[Genson])</f>
        <v>111009.2</v>
      </c>
      <c r="L47" s="2">
        <f>DEVSQ(Table51[Boon])</f>
        <v>54260.799999999996</v>
      </c>
      <c r="M47" s="2">
        <f>DEVSQ(Table51[Alibaba])</f>
        <v>68111.199999999997</v>
      </c>
      <c r="N47" s="2">
        <f>DEVSQ(Table51[Gson])</f>
        <v>72869.200000000012</v>
      </c>
      <c r="O47" s="2"/>
      <c r="P47" s="2"/>
      <c r="Q47" s="2"/>
    </row>
    <row r="48" spans="2:17">
      <c r="B48" t="s">
        <v>25</v>
      </c>
      <c r="C48" s="2">
        <f>DEVSQ(Table53[Newtonsoft])</f>
        <v>174274.8</v>
      </c>
      <c r="D48" s="2">
        <f>DEVSQ(Table53[Revenj])</f>
        <v>44048</v>
      </c>
      <c r="E48" s="2">
        <f>DEVSQ(Table53[fastJSON])</f>
        <v>288611.20000000001</v>
      </c>
      <c r="F48" s="2">
        <f>DEVSQ(Table53[Service Stack])</f>
        <v>101186.79999999999</v>
      </c>
      <c r="G48" s="2">
        <f>DEVSQ(Table53[Jil])</f>
        <v>197138.8</v>
      </c>
      <c r="H48" s="2" t="e">
        <f>DEVSQ(Table53[NetJSON])</f>
        <v>#NUM!</v>
      </c>
      <c r="I48" s="2">
        <f>DEVSQ(Table53[Jackson])</f>
        <v>71328.800000000003</v>
      </c>
      <c r="J48" s="2">
        <f>DEVSQ(Table53[DSL Platform Java])</f>
        <v>66946</v>
      </c>
      <c r="K48" s="2">
        <f>DEVSQ(Table53[Genson])</f>
        <v>34793.199999999997</v>
      </c>
      <c r="L48" s="2" t="e">
        <f>DEVSQ(Table53[Boon])</f>
        <v>#NUM!</v>
      </c>
      <c r="M48" s="2">
        <f>DEVSQ(Table53[Alibaba])</f>
        <v>1520244.8</v>
      </c>
      <c r="N48" s="2">
        <f>DEVSQ(Table53[Gson])</f>
        <v>75147.199999999997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3267</v>
      </c>
      <c r="C52">
        <v>3343</v>
      </c>
      <c r="D52">
        <v>3464</v>
      </c>
      <c r="E52">
        <v>3377</v>
      </c>
      <c r="F52">
        <v>3229</v>
      </c>
      <c r="G52">
        <v>3300</v>
      </c>
      <c r="H52">
        <v>2592</v>
      </c>
      <c r="I52">
        <v>2503</v>
      </c>
      <c r="J52">
        <v>2610</v>
      </c>
      <c r="K52">
        <v>2557</v>
      </c>
      <c r="L52">
        <v>2520</v>
      </c>
      <c r="M52">
        <v>2553</v>
      </c>
    </row>
    <row r="53" spans="2:25">
      <c r="B53">
        <v>3268</v>
      </c>
      <c r="C53">
        <v>3338</v>
      </c>
      <c r="D53">
        <v>3368</v>
      </c>
      <c r="E53">
        <v>3386</v>
      </c>
      <c r="F53">
        <v>3422</v>
      </c>
      <c r="G53">
        <v>3372</v>
      </c>
      <c r="H53">
        <v>2531</v>
      </c>
      <c r="I53">
        <v>2631</v>
      </c>
      <c r="J53">
        <v>2461</v>
      </c>
      <c r="K53">
        <v>2564</v>
      </c>
      <c r="L53">
        <v>2471</v>
      </c>
      <c r="M53">
        <v>2527</v>
      </c>
    </row>
    <row r="54" spans="2:25">
      <c r="B54">
        <v>3296</v>
      </c>
      <c r="C54">
        <v>3235</v>
      </c>
      <c r="D54">
        <v>3443</v>
      </c>
      <c r="E54">
        <v>3234</v>
      </c>
      <c r="F54">
        <v>3471</v>
      </c>
      <c r="G54">
        <v>3328</v>
      </c>
      <c r="H54">
        <v>2535</v>
      </c>
      <c r="I54">
        <v>2458</v>
      </c>
      <c r="J54">
        <v>2582</v>
      </c>
      <c r="K54">
        <v>2528</v>
      </c>
      <c r="L54">
        <v>2480</v>
      </c>
      <c r="M54">
        <v>2634</v>
      </c>
    </row>
    <row r="55" spans="2:25">
      <c r="B55">
        <v>3209</v>
      </c>
      <c r="C55">
        <v>3314</v>
      </c>
      <c r="D55">
        <v>3356</v>
      </c>
      <c r="E55">
        <v>3250</v>
      </c>
      <c r="F55">
        <v>3382</v>
      </c>
      <c r="G55">
        <v>3560</v>
      </c>
      <c r="H55">
        <v>2544</v>
      </c>
      <c r="I55">
        <v>2542</v>
      </c>
      <c r="J55">
        <v>2519</v>
      </c>
      <c r="K55">
        <v>2546</v>
      </c>
      <c r="L55">
        <v>2450</v>
      </c>
      <c r="M55">
        <v>2573</v>
      </c>
    </row>
    <row r="56" spans="2:25">
      <c r="B56">
        <v>3221</v>
      </c>
      <c r="C56">
        <v>3262</v>
      </c>
      <c r="D56">
        <v>3307</v>
      </c>
      <c r="E56">
        <v>3307</v>
      </c>
      <c r="F56">
        <v>3410</v>
      </c>
      <c r="G56">
        <v>3342</v>
      </c>
      <c r="H56">
        <v>2689</v>
      </c>
      <c r="I56">
        <v>2443</v>
      </c>
      <c r="J56">
        <v>2518</v>
      </c>
      <c r="K56">
        <v>2535</v>
      </c>
      <c r="L56">
        <v>2463</v>
      </c>
      <c r="M56">
        <v>2494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8862</v>
      </c>
      <c r="C60">
        <v>5314</v>
      </c>
      <c r="D60">
        <v>13805</v>
      </c>
      <c r="E60">
        <v>9135</v>
      </c>
      <c r="F60">
        <v>8771</v>
      </c>
      <c r="H60">
        <v>4522</v>
      </c>
      <c r="I60">
        <v>2929</v>
      </c>
      <c r="J60">
        <v>7452</v>
      </c>
      <c r="K60">
        <v>4924</v>
      </c>
      <c r="L60">
        <v>21452</v>
      </c>
      <c r="M60">
        <v>5947</v>
      </c>
      <c r="N60">
        <v>120388890</v>
      </c>
      <c r="O60">
        <v>102888890</v>
      </c>
      <c r="P60">
        <v>108388890</v>
      </c>
      <c r="Q60">
        <v>119388890</v>
      </c>
      <c r="R60">
        <v>123388890</v>
      </c>
      <c r="T60">
        <v>102888890</v>
      </c>
      <c r="U60">
        <v>102888890</v>
      </c>
      <c r="V60">
        <v>110388890</v>
      </c>
      <c r="W60">
        <v>90888890</v>
      </c>
      <c r="X60">
        <v>1960830170</v>
      </c>
      <c r="Y60">
        <v>110388890</v>
      </c>
    </row>
    <row r="61" spans="2:25">
      <c r="B61">
        <v>8600</v>
      </c>
      <c r="C61">
        <v>5296</v>
      </c>
      <c r="D61">
        <v>14079</v>
      </c>
      <c r="E61">
        <v>9027</v>
      </c>
      <c r="F61">
        <v>8964</v>
      </c>
      <c r="H61">
        <v>4369</v>
      </c>
      <c r="I61">
        <v>2889</v>
      </c>
      <c r="J61">
        <v>7165</v>
      </c>
      <c r="K61">
        <v>4952</v>
      </c>
      <c r="L61">
        <v>21407</v>
      </c>
      <c r="M61">
        <v>5585</v>
      </c>
      <c r="N61">
        <v>120388890</v>
      </c>
      <c r="O61">
        <v>102888890</v>
      </c>
      <c r="P61">
        <v>108388890</v>
      </c>
      <c r="Q61">
        <v>119388890</v>
      </c>
      <c r="R61">
        <v>123388890</v>
      </c>
      <c r="T61">
        <v>102888890</v>
      </c>
      <c r="U61">
        <v>102888890</v>
      </c>
      <c r="V61">
        <v>110388890</v>
      </c>
      <c r="W61">
        <v>90888890</v>
      </c>
      <c r="X61">
        <v>1960830170</v>
      </c>
      <c r="Y61">
        <v>110388890</v>
      </c>
    </row>
    <row r="62" spans="2:25">
      <c r="B62">
        <v>8861</v>
      </c>
      <c r="C62">
        <v>5493</v>
      </c>
      <c r="D62">
        <v>13905</v>
      </c>
      <c r="E62">
        <v>9135</v>
      </c>
      <c r="F62">
        <v>8840</v>
      </c>
      <c r="H62">
        <v>4495</v>
      </c>
      <c r="I62">
        <v>2928</v>
      </c>
      <c r="J62">
        <v>7202</v>
      </c>
      <c r="K62">
        <v>4906</v>
      </c>
      <c r="L62">
        <v>21247</v>
      </c>
      <c r="M62">
        <v>5744</v>
      </c>
      <c r="N62">
        <v>120388890</v>
      </c>
      <c r="O62">
        <v>102888890</v>
      </c>
      <c r="P62">
        <v>108388890</v>
      </c>
      <c r="Q62">
        <v>119388890</v>
      </c>
      <c r="R62">
        <v>123388890</v>
      </c>
      <c r="T62">
        <v>102888890</v>
      </c>
      <c r="U62">
        <v>102888890</v>
      </c>
      <c r="V62">
        <v>110388890</v>
      </c>
      <c r="W62">
        <v>90888890</v>
      </c>
      <c r="X62">
        <v>1960830170</v>
      </c>
      <c r="Y62">
        <v>110388890</v>
      </c>
    </row>
    <row r="63" spans="2:25">
      <c r="B63">
        <v>9042</v>
      </c>
      <c r="C63">
        <v>5252</v>
      </c>
      <c r="D63">
        <v>13699</v>
      </c>
      <c r="E63">
        <v>9262</v>
      </c>
      <c r="F63">
        <v>8926</v>
      </c>
      <c r="H63">
        <v>4493</v>
      </c>
      <c r="I63">
        <v>2896</v>
      </c>
      <c r="J63">
        <v>7121</v>
      </c>
      <c r="K63">
        <v>4758</v>
      </c>
      <c r="L63">
        <v>21225</v>
      </c>
      <c r="M63">
        <v>5730</v>
      </c>
      <c r="N63">
        <v>120388890</v>
      </c>
      <c r="O63">
        <v>102888890</v>
      </c>
      <c r="P63">
        <v>108388890</v>
      </c>
      <c r="Q63">
        <v>119388890</v>
      </c>
      <c r="R63">
        <v>123388890</v>
      </c>
      <c r="T63">
        <v>102888890</v>
      </c>
      <c r="U63">
        <v>102888890</v>
      </c>
      <c r="V63">
        <v>110388890</v>
      </c>
      <c r="W63">
        <v>90888890</v>
      </c>
      <c r="X63">
        <v>1960830170</v>
      </c>
      <c r="Y63">
        <v>110388890</v>
      </c>
    </row>
    <row r="64" spans="2:25">
      <c r="B64">
        <v>8658</v>
      </c>
      <c r="C64">
        <v>5460</v>
      </c>
      <c r="D64">
        <v>13735</v>
      </c>
      <c r="E64">
        <v>9289</v>
      </c>
      <c r="F64">
        <v>8856</v>
      </c>
      <c r="H64">
        <v>4563</v>
      </c>
      <c r="I64">
        <v>2947</v>
      </c>
      <c r="J64">
        <v>7472</v>
      </c>
      <c r="K64">
        <v>4686</v>
      </c>
      <c r="L64">
        <v>21141</v>
      </c>
      <c r="M64">
        <v>5662</v>
      </c>
      <c r="N64">
        <v>120388890</v>
      </c>
      <c r="O64">
        <v>102888890</v>
      </c>
      <c r="P64">
        <v>108388890</v>
      </c>
      <c r="Q64">
        <v>119388890</v>
      </c>
      <c r="R64">
        <v>123388890</v>
      </c>
      <c r="T64">
        <v>102888890</v>
      </c>
      <c r="U64">
        <v>102888890</v>
      </c>
      <c r="V64">
        <v>110388890</v>
      </c>
      <c r="W64">
        <v>90888890</v>
      </c>
      <c r="X64">
        <v>1960830170</v>
      </c>
      <c r="Y64">
        <v>110388890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20198</v>
      </c>
      <c r="C68">
        <v>9683</v>
      </c>
      <c r="D68">
        <v>24996</v>
      </c>
      <c r="E68">
        <v>20026</v>
      </c>
      <c r="F68">
        <v>13101</v>
      </c>
      <c r="H68">
        <v>7088</v>
      </c>
      <c r="I68">
        <v>3538</v>
      </c>
      <c r="J68">
        <v>11581</v>
      </c>
      <c r="L68">
        <v>50368</v>
      </c>
      <c r="M68">
        <v>10701</v>
      </c>
    </row>
    <row r="69" spans="2:13">
      <c r="B69">
        <v>19837</v>
      </c>
      <c r="C69">
        <v>9695</v>
      </c>
      <c r="D69">
        <v>24560</v>
      </c>
      <c r="E69">
        <v>19762</v>
      </c>
      <c r="F69">
        <v>13174</v>
      </c>
      <c r="H69">
        <v>6879</v>
      </c>
      <c r="I69">
        <v>3675</v>
      </c>
      <c r="J69">
        <v>11538</v>
      </c>
      <c r="L69">
        <v>49008</v>
      </c>
      <c r="M69">
        <v>10539</v>
      </c>
    </row>
    <row r="70" spans="2:13">
      <c r="B70">
        <v>19696</v>
      </c>
      <c r="C70">
        <v>9467</v>
      </c>
      <c r="D70">
        <v>25124</v>
      </c>
      <c r="E70">
        <v>19625</v>
      </c>
      <c r="F70">
        <v>13341</v>
      </c>
      <c r="H70">
        <v>7100</v>
      </c>
      <c r="I70">
        <v>3426</v>
      </c>
      <c r="J70">
        <v>11598</v>
      </c>
      <c r="L70">
        <v>50310</v>
      </c>
      <c r="M70">
        <v>10585</v>
      </c>
    </row>
    <row r="71" spans="2:13">
      <c r="B71">
        <v>19901</v>
      </c>
      <c r="C71">
        <v>9625</v>
      </c>
      <c r="D71">
        <v>24622</v>
      </c>
      <c r="E71">
        <v>19665</v>
      </c>
      <c r="F71">
        <v>12827</v>
      </c>
      <c r="H71">
        <v>7016</v>
      </c>
      <c r="I71">
        <v>3761</v>
      </c>
      <c r="J71">
        <v>11477</v>
      </c>
      <c r="L71">
        <v>49536</v>
      </c>
      <c r="M71">
        <v>10485</v>
      </c>
    </row>
    <row r="72" spans="2:13">
      <c r="B72">
        <v>20132</v>
      </c>
      <c r="C72">
        <v>9735</v>
      </c>
      <c r="D72">
        <v>25096</v>
      </c>
      <c r="E72">
        <v>19836</v>
      </c>
      <c r="F72">
        <v>12838</v>
      </c>
      <c r="H72">
        <v>6796</v>
      </c>
      <c r="I72">
        <v>3640</v>
      </c>
      <c r="J72">
        <v>11368</v>
      </c>
      <c r="L72">
        <v>49257</v>
      </c>
      <c r="M72">
        <v>10827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2015-06-19T12:27:21Z</dcterms:modified>
</cp:coreProperties>
</file>