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43.xml" ContentType="application/vnd.openxmlformats-officedocument.spreadsheetml.table+xml"/>
  <Override PartName="/xl/tables/table54.xml" ContentType="application/vnd.openxmlformats-officedocument.spreadsheetml.table+xml"/>
  <Override PartName="/xl/tables/table72.xml" ContentType="application/vnd.openxmlformats-officedocument.spreadsheetml.table+xml"/>
  <Override PartName="/xl/tables/table90.xml" ContentType="application/vnd.openxmlformats-officedocument.spreadsheetml.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32.xml" ContentType="application/vnd.openxmlformats-officedocument.spreadsheetml.table+xml"/>
  <Override PartName="/xl/tables/table61.xml" ContentType="application/vnd.openxmlformats-officedocument.spreadsheetml.table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tables/table21.xml" ContentType="application/vnd.openxmlformats-officedocument.spreadsheetml.table+xml"/>
  <Override PartName="/xl/tables/table50.xml" ContentType="application/vnd.openxmlformats-officedocument.spreadsheetml.table+xml"/>
  <Override PartName="/xl/drawings/drawing17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tables/table59.xml" ContentType="application/vnd.openxmlformats-officedocument.spreadsheetml.table+xml"/>
  <Override PartName="/xl/charts/chart34.xml" ContentType="application/vnd.openxmlformats-officedocument.drawingml.chart+xml"/>
  <Override PartName="/xl/tables/table88.xml" ContentType="application/vnd.openxmlformats-officedocument.spreadsheetml.table+xml"/>
  <Override PartName="/xl/sharedStrings.xml" ContentType="application/vnd.openxmlformats-officedocument.spreadsheetml.sharedStrings+xml"/>
  <Override PartName="/xl/tables/table19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tables/table66.xml" ContentType="application/vnd.openxmlformats-officedocument.spreadsheetml.table+xml"/>
  <Override PartName="/xl/tables/table77.xml" ContentType="application/vnd.openxmlformats-officedocument.spreadsheetml.table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tables/table26.xml" ContentType="application/vnd.openxmlformats-officedocument.spreadsheetml.table+xml"/>
  <Override PartName="/xl/charts/chart12.xml" ContentType="application/vnd.openxmlformats-officedocument.drawingml.chart+xml"/>
  <Override PartName="/xl/tables/table37.xml" ContentType="application/vnd.openxmlformats-officedocument.spreadsheetml.table+xml"/>
  <Override PartName="/xl/tables/table55.xml" ContentType="application/vnd.openxmlformats-officedocument.spreadsheetml.table+xml"/>
  <Override PartName="/xl/tables/table73.xml" ContentType="application/vnd.openxmlformats-officedocument.spreadsheetml.table+xml"/>
  <Override PartName="/xl/charts/chart30.xml" ContentType="application/vnd.openxmlformats-officedocument.drawingml.chart+xml"/>
  <Override PartName="/xl/tables/table84.xml" ContentType="application/vnd.openxmlformats-officedocument.spreadsheetml.table+xml"/>
  <Override PartName="/xl/comments10.xml" ContentType="application/vnd.openxmlformats-officedocument.spreadsheetml.comments+xml"/>
  <Default Extension="bin" ContentType="application/vnd.openxmlformats-officedocument.spreadsheetml.printerSettings"/>
  <Override PartName="/xl/tables/table15.xml" ContentType="application/vnd.openxmlformats-officedocument.spreadsheetml.table+xml"/>
  <Override PartName="/xl/tables/table44.xml" ContentType="application/vnd.openxmlformats-officedocument.spreadsheetml.table+xml"/>
  <Override PartName="/xl/tables/table62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22.xml" ContentType="application/vnd.openxmlformats-officedocument.spreadsheetml.table+xml"/>
  <Override PartName="/xl/drawings/drawing7.xml" ContentType="application/vnd.openxmlformats-officedocument.drawing+xml"/>
  <Override PartName="/xl/tables/table33.xml" ContentType="application/vnd.openxmlformats-officedocument.spreadsheetml.table+xml"/>
  <Override PartName="/xl/tables/table51.xml" ContentType="application/vnd.openxmlformats-officedocument.spreadsheetml.table+xml"/>
  <Override PartName="/xl/tables/table80.xml" ContentType="application/vnd.openxmlformats-officedocument.spreadsheetml.table+xml"/>
  <Override PartName="/xl/comments9.xml" ContentType="application/vnd.openxmlformats-officedocument.spreadsheetml.comments+xml"/>
  <Override PartName="/xl/worksheets/sheet8.xml" ContentType="application/vnd.openxmlformats-officedocument.spreadsheetml.worksheet+xml"/>
  <Override PartName="/xl/tables/table11.xml" ContentType="application/vnd.openxmlformats-officedocument.spreadsheetml.table+xml"/>
  <Override PartName="/xl/tables/table40.xml" ContentType="application/vnd.openxmlformats-officedocument.spreadsheetml.table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tables/table8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tables/table49.xml" ContentType="application/vnd.openxmlformats-officedocument.spreadsheetml.table+xml"/>
  <Override PartName="/xl/tables/table78.xml" ContentType="application/vnd.openxmlformats-officedocument.spreadsheetml.table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tables/table38.xml" ContentType="application/vnd.openxmlformats-officedocument.spreadsheetml.tab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tables/table67.xml" ContentType="application/vnd.openxmlformats-officedocument.spreadsheetml.table+xml"/>
  <Override PartName="/xl/tables/table85.xml" ContentType="application/vnd.openxmlformats-officedocument.spreadsheetml.table+xml"/>
  <Override PartName="/xl/worksheets/sheet17.xml" ContentType="application/vnd.openxmlformats-officedocument.spreadsheetml.worksheet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tables/table27.xml" ContentType="application/vnd.openxmlformats-officedocument.spreadsheetml.table+xml"/>
  <Override PartName="/xl/charts/chart11.xml" ContentType="application/vnd.openxmlformats-officedocument.drawingml.chart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charts/chart22.xml" ContentType="application/vnd.openxmlformats-officedocument.drawingml.chart+xml"/>
  <Override PartName="/xl/tables/table56.xml" ContentType="application/vnd.openxmlformats-officedocument.spreadsheetml.table+xml"/>
  <Override PartName="/xl/tables/table65.xml" ContentType="application/vnd.openxmlformats-officedocument.spreadsheetml.table+xml"/>
  <Override PartName="/xl/tables/table74.xml" ContentType="application/vnd.openxmlformats-officedocument.spreadsheetml.table+xml"/>
  <Override PartName="/xl/charts/chart31.xml" ContentType="application/vnd.openxmlformats-officedocument.drawingml.chart+xml"/>
  <Override PartName="/xl/tables/table83.xml" ContentType="application/vnd.openxmlformats-officedocument.spreadsheetml.table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tables/table16.xml" ContentType="application/vnd.openxmlformats-officedocument.spreadsheetml.table+xml"/>
  <Override PartName="/xl/tables/table34.xml" ContentType="application/vnd.openxmlformats-officedocument.spreadsheetml.table+xml"/>
  <Override PartName="/xl/charts/chart20.xml" ContentType="application/vnd.openxmlformats-officedocument.drawingml.chart+xml"/>
  <Override PartName="/xl/tables/table63.xml" ContentType="application/vnd.openxmlformats-officedocument.spreadsheetml.table+xml"/>
  <Override PartName="/xl/tables/table81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tables/table23.xml" ContentType="application/vnd.openxmlformats-officedocument.spreadsheetml.table+xml"/>
  <Override PartName="/xl/drawings/drawing8.xml" ContentType="application/vnd.openxmlformats-officedocument.drawing+xml"/>
  <Override PartName="/xl/tables/table41.xml" ContentType="application/vnd.openxmlformats-officedocument.spreadsheetml.table+xml"/>
  <Override PartName="/xl/tables/table52.xml" ContentType="application/vnd.openxmlformats-officedocument.spreadsheetml.table+xml"/>
  <Override PartName="/xl/tables/table70.xml" ContentType="application/vnd.openxmlformats-officedocument.spreadsheetml.tab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30.xml" ContentType="application/vnd.openxmlformats-officedocument.spreadsheetml.table+xml"/>
  <Override PartName="/xl/comments6.xml" ContentType="application/vnd.openxmlformats-officedocument.spreadsheetml.comments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tables/table68.xml" ContentType="application/vnd.openxmlformats-officedocument.spreadsheetml.table+xml"/>
  <Override PartName="/xl/tables/table79.xml" ContentType="application/vnd.openxmlformats-officedocument.spreadsheetml.table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tables/table39.xml" ContentType="application/vnd.openxmlformats-officedocument.spreadsheetml.table+xml"/>
  <Override PartName="/xl/tables/table57.xml" ContentType="application/vnd.openxmlformats-officedocument.spreadsheetml.table+xml"/>
  <Override PartName="/xl/charts/chart32.xml" ContentType="application/vnd.openxmlformats-officedocument.drawingml.chart+xml"/>
  <Override PartName="/xl/tables/table86.xml" ContentType="application/vnd.openxmlformats-officedocument.spreadsheetml.table+xml"/>
  <Override PartName="/xl/tables/table17.xml" ContentType="application/vnd.openxmlformats-officedocument.spreadsheetml.table+xml"/>
  <Override PartName="/xl/tables/table28.xml" ContentType="application/vnd.openxmlformats-officedocument.spreadsheetml.table+xml"/>
  <Override PartName="/xl/tables/table46.xml" ContentType="application/vnd.openxmlformats-officedocument.spreadsheetml.table+xml"/>
  <Override PartName="/xl/charts/chart21.xml" ContentType="application/vnd.openxmlformats-officedocument.drawingml.chart+xml"/>
  <Override PartName="/xl/tables/table64.xml" ContentType="application/vnd.openxmlformats-officedocument.spreadsheetml.table+xml"/>
  <Override PartName="/xl/tables/table75.xml" ContentType="application/vnd.openxmlformats-officedocument.spreadsheetml.table+xml"/>
  <Override PartName="/xl/worksheets/sheet16.xml" ContentType="application/vnd.openxmlformats-officedocument.spreadsheetml.worksheet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tables/table24.xml" ContentType="application/vnd.openxmlformats-officedocument.spreadsheetml.table+xml"/>
  <Override PartName="/xl/charts/chart10.xml" ContentType="application/vnd.openxmlformats-officedocument.drawingml.chart+xml"/>
  <Override PartName="/xl/tables/table35.xml" ContentType="application/vnd.openxmlformats-officedocument.spreadsheetml.table+xml"/>
  <Override PartName="/xl/drawings/drawing9.xml" ContentType="application/vnd.openxmlformats-officedocument.drawing+xml"/>
  <Override PartName="/xl/tables/table53.xml" ContentType="application/vnd.openxmlformats-officedocument.spreadsheetml.table+xml"/>
  <Override PartName="/xl/tables/table71.xml" ContentType="application/vnd.openxmlformats-officedocument.spreadsheetml.table+xml"/>
  <Override PartName="/xl/tables/table82.xml" ContentType="application/vnd.openxmlformats-officedocument.spreadsheetml.table+xml"/>
  <Override PartName="/xl/tables/table13.xml" ContentType="application/vnd.openxmlformats-officedocument.spreadsheetml.table+xml"/>
  <Override PartName="/xl/tables/table42.xml" ContentType="application/vnd.openxmlformats-officedocument.spreadsheetml.table+xml"/>
  <Override PartName="/xl/tables/table60.xml" ContentType="application/vnd.openxmlformats-officedocument.spreadsheetml.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tables/table20.xml" ContentType="application/vnd.openxmlformats-officedocument.spreadsheetml.table+xml"/>
  <Override PartName="/xl/drawings/drawing5.xml" ContentType="application/vnd.openxmlformats-officedocument.drawing+xml"/>
  <Override PartName="/xl/tables/table31.xml" ContentType="application/vnd.openxmlformats-officedocument.spreadsheetml.table+xml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tables/table69.xml" ContentType="application/vnd.openxmlformats-officedocument.spreadsheetml.table+xml"/>
  <Override PartName="/xl/tables/table87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charts/chart15.xml" ContentType="application/vnd.openxmlformats-officedocument.drawingml.chart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76.xml" ContentType="application/vnd.openxmlformats-officedocument.spreadsheetml.table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0115" windowHeight="799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25725"/>
</workbook>
</file>

<file path=xl/calcChain.xml><?xml version="1.0" encoding="utf-8"?>
<calcChain xmlns="http://schemas.openxmlformats.org/spreadsheetml/2006/main">
  <c r="L42" i="10"/>
  <c r="M42" i="1" l="1"/>
  <c r="M41"/>
  <c r="M38"/>
  <c r="M39" s="1"/>
  <c r="L42"/>
  <c r="L41"/>
  <c r="L38"/>
  <c r="L39" s="1"/>
  <c r="L48"/>
  <c r="L47"/>
  <c r="M48"/>
  <c r="M47"/>
  <c r="E48"/>
  <c r="E47"/>
  <c r="E42"/>
  <c r="E41"/>
  <c r="E38"/>
  <c r="E39" s="1"/>
  <c r="M40" l="1"/>
  <c r="L40"/>
  <c r="E40"/>
  <c r="K42"/>
  <c r="I41"/>
  <c r="I38"/>
  <c r="I39" s="1"/>
  <c r="J41"/>
  <c r="J38"/>
  <c r="J39" s="1"/>
  <c r="K41"/>
  <c r="K38"/>
  <c r="K39" s="1"/>
  <c r="J40" l="1"/>
  <c r="K40"/>
  <c r="F42"/>
  <c r="D42"/>
  <c r="C42"/>
  <c r="N41"/>
  <c r="N38"/>
  <c r="N39" s="1"/>
  <c r="I48"/>
  <c r="I47"/>
  <c r="N42"/>
  <c r="I40"/>
  <c r="N40" l="1"/>
  <c r="J42"/>
  <c r="I42"/>
  <c r="H41"/>
  <c r="H38"/>
  <c r="H39" s="1"/>
  <c r="H42"/>
  <c r="G41"/>
  <c r="G38"/>
  <c r="G39" s="1"/>
  <c r="G42"/>
  <c r="F41"/>
  <c r="F38"/>
  <c r="F39" s="1"/>
  <c r="D41"/>
  <c r="D38"/>
  <c r="D39" s="1"/>
  <c r="C41"/>
  <c r="C38"/>
  <c r="C39" s="1"/>
  <c r="H47"/>
  <c r="H48"/>
  <c r="N48"/>
  <c r="N47"/>
  <c r="K47"/>
  <c r="K48"/>
  <c r="J48"/>
  <c r="G47"/>
  <c r="G48"/>
  <c r="F47"/>
  <c r="D47"/>
  <c r="G40" l="1"/>
  <c r="C40"/>
  <c r="F40"/>
  <c r="D40"/>
  <c r="H40"/>
  <c r="D48"/>
  <c r="F48"/>
  <c r="C48"/>
  <c r="J47" l="1"/>
  <c r="C47"/>
  <c r="N48" i="19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L38"/>
  <c r="L39" s="1"/>
  <c r="K38"/>
  <c r="K39" s="1"/>
  <c r="K40" s="1"/>
  <c r="J38"/>
  <c r="J39" s="1"/>
  <c r="I38"/>
  <c r="I39" s="1"/>
  <c r="I40" s="1"/>
  <c r="H38"/>
  <c r="H39" s="1"/>
  <c r="H40" s="1"/>
  <c r="G38"/>
  <c r="G39" s="1"/>
  <c r="F38"/>
  <c r="F39" s="1"/>
  <c r="F40" s="1"/>
  <c r="E38"/>
  <c r="E39" s="1"/>
  <c r="D38"/>
  <c r="D39" s="1"/>
  <c r="C38"/>
  <c r="C39" s="1"/>
  <c r="C40" s="1"/>
  <c r="N48" i="1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M40" s="1"/>
  <c r="L38"/>
  <c r="L39" s="1"/>
  <c r="L40" s="1"/>
  <c r="K38"/>
  <c r="K39" s="1"/>
  <c r="J38"/>
  <c r="J39" s="1"/>
  <c r="J40" s="1"/>
  <c r="I38"/>
  <c r="I39" s="1"/>
  <c r="H38"/>
  <c r="H39" s="1"/>
  <c r="G38"/>
  <c r="G39" s="1"/>
  <c r="G40" s="1"/>
  <c r="F38"/>
  <c r="F39" s="1"/>
  <c r="E38"/>
  <c r="E39" s="1"/>
  <c r="E40" s="1"/>
  <c r="D38"/>
  <c r="D39" s="1"/>
  <c r="D40" s="1"/>
  <c r="C38"/>
  <c r="C39" s="1"/>
  <c r="N48" i="17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K38"/>
  <c r="K39" s="1"/>
  <c r="K40" s="1"/>
  <c r="J38"/>
  <c r="J39" s="1"/>
  <c r="I38"/>
  <c r="I39" s="1"/>
  <c r="I40" s="1"/>
  <c r="H38"/>
  <c r="H39" s="1"/>
  <c r="H40" s="1"/>
  <c r="G38"/>
  <c r="G39" s="1"/>
  <c r="F38"/>
  <c r="F39" s="1"/>
  <c r="F40" s="1"/>
  <c r="E38"/>
  <c r="E39" s="1"/>
  <c r="D38"/>
  <c r="D39" s="1"/>
  <c r="C38"/>
  <c r="C39" s="1"/>
  <c r="C40" s="1"/>
  <c r="N48" i="16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L40" s="1"/>
  <c r="K38"/>
  <c r="K39" s="1"/>
  <c r="J38"/>
  <c r="J39" s="1"/>
  <c r="J40" s="1"/>
  <c r="I38"/>
  <c r="I39" s="1"/>
  <c r="H38"/>
  <c r="H39" s="1"/>
  <c r="G38"/>
  <c r="G39" s="1"/>
  <c r="G40" s="1"/>
  <c r="F38"/>
  <c r="F39" s="1"/>
  <c r="E38"/>
  <c r="E39" s="1"/>
  <c r="E40" s="1"/>
  <c r="D38"/>
  <c r="D39" s="1"/>
  <c r="D40" s="1"/>
  <c r="C38"/>
  <c r="C39" s="1"/>
  <c r="N48" i="15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N40" s="1"/>
  <c r="M38"/>
  <c r="M39" s="1"/>
  <c r="L38"/>
  <c r="L39" s="1"/>
  <c r="K38"/>
  <c r="K39" s="1"/>
  <c r="K40" s="1"/>
  <c r="J38"/>
  <c r="J39" s="1"/>
  <c r="I38"/>
  <c r="I39" s="1"/>
  <c r="I40" s="1"/>
  <c r="H38"/>
  <c r="H39" s="1"/>
  <c r="H40" s="1"/>
  <c r="G38"/>
  <c r="G39" s="1"/>
  <c r="F38"/>
  <c r="F39" s="1"/>
  <c r="F40" s="1"/>
  <c r="E38"/>
  <c r="E39" s="1"/>
  <c r="D38"/>
  <c r="D39" s="1"/>
  <c r="C38"/>
  <c r="C39" s="1"/>
  <c r="C40" s="1"/>
  <c r="N48" i="14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K38"/>
  <c r="K39" s="1"/>
  <c r="J38"/>
  <c r="J39" s="1"/>
  <c r="J40" s="1"/>
  <c r="I38"/>
  <c r="I39" s="1"/>
  <c r="H38"/>
  <c r="H39" s="1"/>
  <c r="G38"/>
  <c r="G39" s="1"/>
  <c r="G40" s="1"/>
  <c r="F38"/>
  <c r="F39" s="1"/>
  <c r="E38"/>
  <c r="E39" s="1"/>
  <c r="E40" s="1"/>
  <c r="D38"/>
  <c r="D39" s="1"/>
  <c r="D40" s="1"/>
  <c r="C38"/>
  <c r="C39" s="1"/>
  <c r="N48" i="13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N40" s="1"/>
  <c r="M38"/>
  <c r="M39" s="1"/>
  <c r="L38"/>
  <c r="L39" s="1"/>
  <c r="K38"/>
  <c r="K39" s="1"/>
  <c r="K40" s="1"/>
  <c r="J38"/>
  <c r="J39" s="1"/>
  <c r="I38"/>
  <c r="I39" s="1"/>
  <c r="I40" s="1"/>
  <c r="H38"/>
  <c r="H39" s="1"/>
  <c r="H40" s="1"/>
  <c r="G38"/>
  <c r="G39" s="1"/>
  <c r="F38"/>
  <c r="F39" s="1"/>
  <c r="F40" s="1"/>
  <c r="E38"/>
  <c r="E39" s="1"/>
  <c r="D38"/>
  <c r="D39" s="1"/>
  <c r="C38"/>
  <c r="C39" s="1"/>
  <c r="C40" s="1"/>
  <c r="N48" i="12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L40" s="1"/>
  <c r="K38"/>
  <c r="K39" s="1"/>
  <c r="J38"/>
  <c r="J39" s="1"/>
  <c r="J40" s="1"/>
  <c r="I38"/>
  <c r="I39" s="1"/>
  <c r="H38"/>
  <c r="H39" s="1"/>
  <c r="G38"/>
  <c r="G39" s="1"/>
  <c r="G40" s="1"/>
  <c r="F38"/>
  <c r="F39" s="1"/>
  <c r="E38"/>
  <c r="E39" s="1"/>
  <c r="E40" s="1"/>
  <c r="D38"/>
  <c r="D39" s="1"/>
  <c r="D40" s="1"/>
  <c r="C38"/>
  <c r="C39" s="1"/>
  <c r="N48" i="11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N40" s="1"/>
  <c r="M38"/>
  <c r="M40" s="1"/>
  <c r="L38"/>
  <c r="L39" s="1"/>
  <c r="L40" s="1"/>
  <c r="K38"/>
  <c r="K39" s="1"/>
  <c r="J38"/>
  <c r="J39" s="1"/>
  <c r="I38"/>
  <c r="I39" s="1"/>
  <c r="I40" s="1"/>
  <c r="H38"/>
  <c r="H39" s="1"/>
  <c r="G38"/>
  <c r="G39" s="1"/>
  <c r="G40" s="1"/>
  <c r="F38"/>
  <c r="F39" s="1"/>
  <c r="F40" s="1"/>
  <c r="E38"/>
  <c r="E39" s="1"/>
  <c r="D38"/>
  <c r="D39" s="1"/>
  <c r="D40" s="1"/>
  <c r="C38"/>
  <c r="C39" s="1"/>
  <c r="N48" i="10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N40" s="1"/>
  <c r="M38"/>
  <c r="M40" s="1"/>
  <c r="L38"/>
  <c r="L39" s="1"/>
  <c r="K38"/>
  <c r="K39" s="1"/>
  <c r="J38"/>
  <c r="J39" s="1"/>
  <c r="J40" s="1"/>
  <c r="I38"/>
  <c r="I39" s="1"/>
  <c r="H38"/>
  <c r="H39" s="1"/>
  <c r="H40" s="1"/>
  <c r="G38"/>
  <c r="G39" s="1"/>
  <c r="G40" s="1"/>
  <c r="F38"/>
  <c r="F39" s="1"/>
  <c r="E38"/>
  <c r="E39" s="1"/>
  <c r="E40" s="1"/>
  <c r="D38"/>
  <c r="D39" s="1"/>
  <c r="C38"/>
  <c r="C39" s="1"/>
  <c r="N48" i="9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M38"/>
  <c r="M40" s="1"/>
  <c r="L38"/>
  <c r="L39" s="1"/>
  <c r="L40" s="1"/>
  <c r="K38"/>
  <c r="K39" s="1"/>
  <c r="J38"/>
  <c r="J39" s="1"/>
  <c r="J40" s="1"/>
  <c r="I38"/>
  <c r="I39" s="1"/>
  <c r="I40" s="1"/>
  <c r="H38"/>
  <c r="H39" s="1"/>
  <c r="G38"/>
  <c r="G39" s="1"/>
  <c r="G40" s="1"/>
  <c r="F38"/>
  <c r="F39" s="1"/>
  <c r="E38"/>
  <c r="E39" s="1"/>
  <c r="D38"/>
  <c r="D39" s="1"/>
  <c r="D40" s="1"/>
  <c r="C38"/>
  <c r="C39" s="1"/>
  <c r="N48" i="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M40" s="1"/>
  <c r="L38"/>
  <c r="L39" s="1"/>
  <c r="K38"/>
  <c r="K39" s="1"/>
  <c r="K40" s="1"/>
  <c r="J38"/>
  <c r="J39" s="1"/>
  <c r="I38"/>
  <c r="I39" s="1"/>
  <c r="H38"/>
  <c r="H39" s="1"/>
  <c r="H40" s="1"/>
  <c r="G38"/>
  <c r="G39" s="1"/>
  <c r="F38"/>
  <c r="F39" s="1"/>
  <c r="F40" s="1"/>
  <c r="E38"/>
  <c r="E39" s="1"/>
  <c r="E40" s="1"/>
  <c r="D38"/>
  <c r="D39" s="1"/>
  <c r="C38"/>
  <c r="C39" s="1"/>
  <c r="C40" s="1"/>
  <c r="N48" i="7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L40" s="1"/>
  <c r="K38"/>
  <c r="K39" s="1"/>
  <c r="J38"/>
  <c r="J39" s="1"/>
  <c r="J40" s="1"/>
  <c r="I38"/>
  <c r="I39" s="1"/>
  <c r="I40" s="1"/>
  <c r="H38"/>
  <c r="H39" s="1"/>
  <c r="G38"/>
  <c r="G39" s="1"/>
  <c r="G40" s="1"/>
  <c r="F38"/>
  <c r="F39" s="1"/>
  <c r="E38"/>
  <c r="E39" s="1"/>
  <c r="D38"/>
  <c r="D39" s="1"/>
  <c r="D40" s="1"/>
  <c r="C38"/>
  <c r="C39" s="1"/>
  <c r="N48" i="6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M40" s="1"/>
  <c r="L38"/>
  <c r="L39" s="1"/>
  <c r="K38"/>
  <c r="K39" s="1"/>
  <c r="K40" s="1"/>
  <c r="J38"/>
  <c r="J39" s="1"/>
  <c r="I38"/>
  <c r="I39" s="1"/>
  <c r="H38"/>
  <c r="H39" s="1"/>
  <c r="H40" s="1"/>
  <c r="G38"/>
  <c r="G39" s="1"/>
  <c r="F38"/>
  <c r="F39" s="1"/>
  <c r="F40" s="1"/>
  <c r="E38"/>
  <c r="E39" s="1"/>
  <c r="E40" s="1"/>
  <c r="D38"/>
  <c r="D39" s="1"/>
  <c r="C38"/>
  <c r="C39" s="1"/>
  <c r="C40" s="1"/>
  <c r="N48" i="5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L40" s="1"/>
  <c r="K38"/>
  <c r="K39" s="1"/>
  <c r="J38"/>
  <c r="J39" s="1"/>
  <c r="J40" s="1"/>
  <c r="I38"/>
  <c r="I39" s="1"/>
  <c r="I40" s="1"/>
  <c r="H38"/>
  <c r="H39" s="1"/>
  <c r="G38"/>
  <c r="G39" s="1"/>
  <c r="G40" s="1"/>
  <c r="F38"/>
  <c r="F39" s="1"/>
  <c r="E38"/>
  <c r="E39" s="1"/>
  <c r="D38"/>
  <c r="D39" s="1"/>
  <c r="D40" s="1"/>
  <c r="C38"/>
  <c r="C39" s="1"/>
  <c r="N48" i="4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M40" s="1"/>
  <c r="L38"/>
  <c r="L39" s="1"/>
  <c r="K38"/>
  <c r="K39" s="1"/>
  <c r="K40" s="1"/>
  <c r="J38"/>
  <c r="J39" s="1"/>
  <c r="I38"/>
  <c r="I39" s="1"/>
  <c r="H38"/>
  <c r="H39" s="1"/>
  <c r="H40" s="1"/>
  <c r="G38"/>
  <c r="G39" s="1"/>
  <c r="F38"/>
  <c r="F39" s="1"/>
  <c r="F40" s="1"/>
  <c r="E38"/>
  <c r="E39" s="1"/>
  <c r="E40" s="1"/>
  <c r="D38"/>
  <c r="D39" s="1"/>
  <c r="C38"/>
  <c r="C39" s="1"/>
  <c r="C40" s="1"/>
  <c r="N48" i="3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L40" s="1"/>
  <c r="K38"/>
  <c r="K39" s="1"/>
  <c r="J38"/>
  <c r="J39" s="1"/>
  <c r="J40" s="1"/>
  <c r="I38"/>
  <c r="I39" s="1"/>
  <c r="I40" s="1"/>
  <c r="H38"/>
  <c r="H39" s="1"/>
  <c r="G38"/>
  <c r="G39" s="1"/>
  <c r="G40" s="1"/>
  <c r="F38"/>
  <c r="F39" s="1"/>
  <c r="E38"/>
  <c r="E39" s="1"/>
  <c r="D38"/>
  <c r="D39" s="1"/>
  <c r="D40" s="1"/>
  <c r="C38"/>
  <c r="C39" s="1"/>
  <c r="N40" i="17" l="1"/>
  <c r="L40" i="14"/>
  <c r="C40" i="3"/>
  <c r="K40"/>
  <c r="G40" i="4"/>
  <c r="C40" i="5"/>
  <c r="K40"/>
  <c r="G40" i="6"/>
  <c r="C40" i="7"/>
  <c r="K40"/>
  <c r="G40" i="8"/>
  <c r="C40" i="9"/>
  <c r="K40"/>
  <c r="I40" i="10"/>
  <c r="H40" i="11"/>
  <c r="F40" i="12"/>
  <c r="N40"/>
  <c r="J40" i="13"/>
  <c r="F40" i="14"/>
  <c r="N40"/>
  <c r="J40" i="15"/>
  <c r="F40" i="16"/>
  <c r="N40"/>
  <c r="J40" i="17"/>
  <c r="F40" i="18"/>
  <c r="N40"/>
  <c r="J40" i="19"/>
  <c r="M40" i="3"/>
  <c r="I40" i="4"/>
  <c r="E40" i="5"/>
  <c r="M40"/>
  <c r="I40" i="6"/>
  <c r="E40" i="7"/>
  <c r="M40"/>
  <c r="I40" i="8"/>
  <c r="E40" i="9"/>
  <c r="C40" i="10"/>
  <c r="K40"/>
  <c r="J40" i="11"/>
  <c r="H40" i="12"/>
  <c r="D40" i="13"/>
  <c r="L40"/>
  <c r="H40" i="14"/>
  <c r="D40" i="15"/>
  <c r="L40"/>
  <c r="H40" i="16"/>
  <c r="D40" i="17"/>
  <c r="L40"/>
  <c r="H40" i="18"/>
  <c r="D40" i="19"/>
  <c r="L40"/>
  <c r="E40" i="3"/>
  <c r="F40"/>
  <c r="N40"/>
  <c r="J40" i="4"/>
  <c r="F40" i="5"/>
  <c r="N40"/>
  <c r="J40" i="6"/>
  <c r="F40" i="7"/>
  <c r="N40"/>
  <c r="J40" i="8"/>
  <c r="F40" i="9"/>
  <c r="N40"/>
  <c r="D40" i="10"/>
  <c r="L40"/>
  <c r="C40" i="11"/>
  <c r="K40"/>
  <c r="I40" i="12"/>
  <c r="E40" i="13"/>
  <c r="M40"/>
  <c r="I40" i="14"/>
  <c r="E40" i="15"/>
  <c r="M40"/>
  <c r="I40" i="16"/>
  <c r="E40" i="17"/>
  <c r="M40"/>
  <c r="I40" i="18"/>
  <c r="E40" i="19"/>
  <c r="M40"/>
  <c r="H40" i="3"/>
  <c r="D40" i="4"/>
  <c r="L40"/>
  <c r="H40" i="5"/>
  <c r="D40" i="6"/>
  <c r="L40"/>
  <c r="H40" i="7"/>
  <c r="D40" i="8"/>
  <c r="L40"/>
  <c r="H40" i="9"/>
  <c r="F40" i="10"/>
  <c r="E40" i="11"/>
  <c r="C40" i="12"/>
  <c r="K40"/>
  <c r="G40" i="13"/>
  <c r="C40" i="14"/>
  <c r="K40"/>
  <c r="G40" i="15"/>
  <c r="C40" i="16"/>
  <c r="K40"/>
  <c r="G40" i="17"/>
  <c r="C40" i="18"/>
  <c r="K40"/>
  <c r="G40" i="19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10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If vanilla POCO is used Newtonsoft is much slower</t>
        </r>
      </text>
    </comment>
  </commentList>
</comments>
</file>

<file path=xl/comments11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If vanilla POCO is used Newtonsoft times out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4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5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6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7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8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9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sharedStrings.xml><?xml version="1.0" encoding="utf-8"?>
<sst xmlns="http://schemas.openxmlformats.org/spreadsheetml/2006/main" count="1545" uniqueCount="55">
  <si>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</si>
  <si>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</si>
  <si>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</si>
  <si>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</si>
  <si>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</si>
  <si>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</si>
  <si>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</si>
  <si>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</si>
  <si>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</si>
  <si>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</si>
  <si>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</si>
  <si>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</si>
  <si>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</si>
  <si>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</si>
  <si>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</si>
  <si>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Gson</t>
  </si>
  <si>
    <t>Revenj (size)</t>
  </si>
  <si>
    <t>Service Stack (size)</t>
  </si>
  <si>
    <t>Jil (size)</t>
  </si>
  <si>
    <t>NetJSON (size)</t>
  </si>
  <si>
    <t>DSL Platform Java (size)</t>
  </si>
  <si>
    <t>Gson (size)</t>
  </si>
  <si>
    <t>NetJSON</t>
  </si>
  <si>
    <t>Jil</t>
  </si>
  <si>
    <t>Instance</t>
  </si>
  <si>
    <t>All</t>
  </si>
  <si>
    <t>Jackson afterburner</t>
  </si>
  <si>
    <t>Genson</t>
  </si>
  <si>
    <t>Genson (size)</t>
  </si>
  <si>
    <t>fastJSON</t>
  </si>
  <si>
    <t>Alibaba</t>
  </si>
  <si>
    <t>Boon</t>
  </si>
  <si>
    <t>fastJSON (size)</t>
  </si>
  <si>
    <t>Boon (size)</t>
  </si>
  <si>
    <t>Alibaba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</si>
  <si>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</si>
  <si>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</si>
  <si>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</si>
  <si>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</si>
  <si>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</si>
  <si>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</si>
  <si>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</si>
  <si>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</si>
  <si>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</si>
  <si>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</si>
  <si>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</si>
  <si>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</si>
  <si>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</si>
  <si>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</si>
  <si>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</si>
  <si>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</si>
  <si>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</si>
  <si>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</si>
  <si>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removed</t>
  </si>
  <si>
    <t>Newtonsoft (DSL model)</t>
  </si>
</sst>
</file>

<file path=xl/styles.xml><?xml version="1.0" encoding="utf-8"?>
<styleSheet xmlns="http://schemas.openxmlformats.org/spreadsheetml/2006/main">
  <numFmts count="1">
    <numFmt numFmtId="164" formatCode="#,##0.0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102.6</c:v>
                </c:pt>
                <c:pt idx="1">
                  <c:v>4</c:v>
                </c:pt>
                <c:pt idx="2">
                  <c:v>17.600000000000001</c:v>
                </c:pt>
                <c:pt idx="3">
                  <c:v>81.400000000000006</c:v>
                </c:pt>
                <c:pt idx="4">
                  <c:v>230.8</c:v>
                </c:pt>
                <c:pt idx="5">
                  <c:v>36</c:v>
                </c:pt>
                <c:pt idx="6">
                  <c:v>66</c:v>
                </c:pt>
                <c:pt idx="7">
                  <c:v>0</c:v>
                </c:pt>
                <c:pt idx="8">
                  <c:v>45</c:v>
                </c:pt>
                <c:pt idx="9">
                  <c:v>62</c:v>
                </c:pt>
                <c:pt idx="10">
                  <c:v>108</c:v>
                </c:pt>
                <c:pt idx="11">
                  <c:v>22.2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37.000000000000014</c:v>
                </c:pt>
                <c:pt idx="1">
                  <c:v>12.399999999999999</c:v>
                </c:pt>
                <c:pt idx="2">
                  <c:v>12.200000000000003</c:v>
                </c:pt>
                <c:pt idx="3">
                  <c:v>13.199999999999989</c:v>
                </c:pt>
                <c:pt idx="4">
                  <c:v>90.599999999999966</c:v>
                </c:pt>
                <c:pt idx="5">
                  <c:v>2</c:v>
                </c:pt>
                <c:pt idx="6">
                  <c:v>35</c:v>
                </c:pt>
                <c:pt idx="7">
                  <c:v>1</c:v>
                </c:pt>
                <c:pt idx="8">
                  <c:v>4</c:v>
                </c:pt>
                <c:pt idx="9">
                  <c:v>29</c:v>
                </c:pt>
                <c:pt idx="10">
                  <c:v>19.599999999999994</c:v>
                </c:pt>
                <c:pt idx="11">
                  <c:v>2.8000000000000007</c:v>
                </c:pt>
              </c:numCache>
            </c:numRef>
          </c:val>
        </c:ser>
        <c:axId val="89807104"/>
        <c:axId val="89829376"/>
      </c:barChart>
      <c:catAx>
        <c:axId val="89807104"/>
        <c:scaling>
          <c:orientation val="minMax"/>
        </c:scaling>
        <c:axPos val="b"/>
        <c:majorTickMark val="none"/>
        <c:tickLblPos val="nextTo"/>
        <c:crossAx val="89829376"/>
        <c:crosses val="autoZero"/>
        <c:auto val="1"/>
        <c:lblAlgn val="ctr"/>
        <c:lblOffset val="100"/>
      </c:catAx>
      <c:valAx>
        <c:axId val="89829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89807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3346489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3346883</c:v>
                </c:pt>
                <c:pt idx="7" formatCode="#,##0.0">
                  <c:v>3346868</c:v>
                </c:pt>
                <c:pt idx="8" formatCode="#,##0.0">
                  <c:v>3346889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axId val="96355840"/>
        <c:axId val="96357376"/>
      </c:barChart>
      <c:catAx>
        <c:axId val="96355840"/>
        <c:scaling>
          <c:orientation val="minMax"/>
        </c:scaling>
        <c:axPos val="b"/>
        <c:majorTickMark val="none"/>
        <c:tickLblPos val="nextTo"/>
        <c:crossAx val="96357376"/>
        <c:crosses val="autoZero"/>
        <c:auto val="1"/>
        <c:lblAlgn val="ctr"/>
        <c:lblOffset val="100"/>
      </c:catAx>
      <c:valAx>
        <c:axId val="96357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96355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2460.4</c:v>
                </c:pt>
                <c:pt idx="1">
                  <c:v>995.6</c:v>
                </c:pt>
                <c:pt idx="2">
                  <c:v>2253.8000000000002</c:v>
                </c:pt>
                <c:pt idx="3">
                  <c:v>3512.6</c:v>
                </c:pt>
                <c:pt idx="4">
                  <c:v>1755.6</c:v>
                </c:pt>
                <c:pt idx="5">
                  <c:v>1096.8</c:v>
                </c:pt>
                <c:pt idx="6">
                  <c:v>1098.4000000000001</c:v>
                </c:pt>
                <c:pt idx="7">
                  <c:v>495</c:v>
                </c:pt>
                <c:pt idx="8">
                  <c:v>3694.3999999999996</c:v>
                </c:pt>
                <c:pt idx="9">
                  <c:v>1757.9999999999998</c:v>
                </c:pt>
                <c:pt idx="10">
                  <c:v>968.60000000000014</c:v>
                </c:pt>
                <c:pt idx="11">
                  <c:v>1721.4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4562.7999999999993</c:v>
                </c:pt>
                <c:pt idx="1">
                  <c:v>1570.6</c:v>
                </c:pt>
                <c:pt idx="2">
                  <c:v>4398</c:v>
                </c:pt>
                <c:pt idx="3">
                  <c:v>3611.7999999999997</c:v>
                </c:pt>
                <c:pt idx="4">
                  <c:v>1436.6</c:v>
                </c:pt>
                <c:pt idx="5">
                  <c:v>1378.4</c:v>
                </c:pt>
                <c:pt idx="6">
                  <c:v>1468.3999999999996</c:v>
                </c:pt>
                <c:pt idx="7">
                  <c:v>435.4</c:v>
                </c:pt>
                <c:pt idx="8">
                  <c:v>4293.8</c:v>
                </c:pt>
                <c:pt idx="9">
                  <c:v>6774.5999999999995</c:v>
                </c:pt>
                <c:pt idx="10">
                  <c:v>1732.5999999999997</c:v>
                </c:pt>
                <c:pt idx="11">
                  <c:v>2036</c:v>
                </c:pt>
              </c:numCache>
            </c:numRef>
          </c:val>
        </c:ser>
        <c:axId val="103018880"/>
        <c:axId val="103020416"/>
      </c:barChart>
      <c:catAx>
        <c:axId val="103018880"/>
        <c:scaling>
          <c:orientation val="minMax"/>
        </c:scaling>
        <c:axPos val="b"/>
        <c:majorTickMark val="none"/>
        <c:tickLblPos val="nextTo"/>
        <c:crossAx val="103020416"/>
        <c:crosses val="autoZero"/>
        <c:auto val="1"/>
        <c:lblAlgn val="ctr"/>
        <c:lblOffset val="100"/>
      </c:catAx>
      <c:valAx>
        <c:axId val="103020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03018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36444889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36448883</c:v>
                </c:pt>
                <c:pt idx="7" formatCode="#,##0.0">
                  <c:v>36448868</c:v>
                </c:pt>
                <c:pt idx="8" formatCode="#,##0.0">
                  <c:v>36448889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axId val="113481600"/>
        <c:axId val="113483136"/>
      </c:barChart>
      <c:catAx>
        <c:axId val="113481600"/>
        <c:scaling>
          <c:orientation val="minMax"/>
        </c:scaling>
        <c:axPos val="b"/>
        <c:majorTickMark val="none"/>
        <c:tickLblPos val="nextTo"/>
        <c:crossAx val="113483136"/>
        <c:crosses val="autoZero"/>
        <c:auto val="1"/>
        <c:lblAlgn val="ctr"/>
        <c:lblOffset val="100"/>
      </c:catAx>
      <c:valAx>
        <c:axId val="11348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13481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24708.2</c:v>
                </c:pt>
                <c:pt idx="1">
                  <c:v>10378</c:v>
                </c:pt>
                <c:pt idx="2">
                  <c:v>23045.600000000002</c:v>
                </c:pt>
                <c:pt idx="3">
                  <c:v>33289</c:v>
                </c:pt>
                <c:pt idx="4">
                  <c:v>17471</c:v>
                </c:pt>
                <c:pt idx="5">
                  <c:v>11163.600000000002</c:v>
                </c:pt>
                <c:pt idx="6">
                  <c:v>9481</c:v>
                </c:pt>
                <c:pt idx="7">
                  <c:v>4473</c:v>
                </c:pt>
                <c:pt idx="8">
                  <c:v>36167</c:v>
                </c:pt>
                <c:pt idx="9">
                  <c:v>16102.400000000001</c:v>
                </c:pt>
                <c:pt idx="10">
                  <c:v>7746.8</c:v>
                </c:pt>
                <c:pt idx="11">
                  <c:v>14893.6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45774.600000000006</c:v>
                </c:pt>
                <c:pt idx="1">
                  <c:v>15813.2</c:v>
                </c:pt>
                <c:pt idx="2">
                  <c:v>43742.999999999985</c:v>
                </c:pt>
                <c:pt idx="3">
                  <c:v>37163</c:v>
                </c:pt>
                <c:pt idx="4">
                  <c:v>15347.999999999996</c:v>
                </c:pt>
                <c:pt idx="5">
                  <c:v>14072.399999999998</c:v>
                </c:pt>
                <c:pt idx="6">
                  <c:v>12381.2</c:v>
                </c:pt>
                <c:pt idx="7">
                  <c:v>3336.7999999999993</c:v>
                </c:pt>
                <c:pt idx="8">
                  <c:v>41465.800000000003</c:v>
                </c:pt>
                <c:pt idx="9">
                  <c:v>68150.999999999985</c:v>
                </c:pt>
                <c:pt idx="10">
                  <c:v>16964.8</c:v>
                </c:pt>
                <c:pt idx="11">
                  <c:v>21474.800000000003</c:v>
                </c:pt>
              </c:numCache>
            </c:numRef>
          </c:val>
        </c:ser>
        <c:axId val="114897664"/>
        <c:axId val="114899200"/>
      </c:barChart>
      <c:catAx>
        <c:axId val="114897664"/>
        <c:scaling>
          <c:orientation val="minMax"/>
        </c:scaling>
        <c:axPos val="b"/>
        <c:majorTickMark val="none"/>
        <c:tickLblPos val="nextTo"/>
        <c:crossAx val="114899200"/>
        <c:crosses val="autoZero"/>
        <c:auto val="1"/>
        <c:lblAlgn val="ctr"/>
        <c:lblOffset val="100"/>
      </c:catAx>
      <c:valAx>
        <c:axId val="114899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14897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394428889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394468883</c:v>
                </c:pt>
                <c:pt idx="7" formatCode="#,##0.0">
                  <c:v>394468868</c:v>
                </c:pt>
                <c:pt idx="8" formatCode="#,##0.0">
                  <c:v>394468889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axId val="114923776"/>
        <c:axId val="114933760"/>
      </c:barChart>
      <c:catAx>
        <c:axId val="114923776"/>
        <c:scaling>
          <c:orientation val="minMax"/>
        </c:scaling>
        <c:axPos val="b"/>
        <c:majorTickMark val="none"/>
        <c:tickLblPos val="nextTo"/>
        <c:crossAx val="114933760"/>
        <c:crosses val="autoZero"/>
        <c:auto val="1"/>
        <c:lblAlgn val="ctr"/>
        <c:lblOffset val="100"/>
      </c:catAx>
      <c:valAx>
        <c:axId val="114933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14923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329.4</c:v>
                </c:pt>
                <c:pt idx="1">
                  <c:v>113.8</c:v>
                </c:pt>
                <c:pt idx="2">
                  <c:v>399.4</c:v>
                </c:pt>
                <c:pt idx="3">
                  <c:v>519.4</c:v>
                </c:pt>
                <c:pt idx="4">
                  <c:v>236</c:v>
                </c:pt>
                <c:pt idx="5">
                  <c:v>184.8</c:v>
                </c:pt>
                <c:pt idx="6">
                  <c:v>301.99999999999994</c:v>
                </c:pt>
                <c:pt idx="7">
                  <c:v>148.4</c:v>
                </c:pt>
                <c:pt idx="8">
                  <c:v>663.8</c:v>
                </c:pt>
                <c:pt idx="9">
                  <c:v>382.6</c:v>
                </c:pt>
                <c:pt idx="10">
                  <c:v>0</c:v>
                </c:pt>
                <c:pt idx="11">
                  <c:v>546.19999999999993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731.00000000000011</c:v>
                </c:pt>
                <c:pt idx="1">
                  <c:v>215.2</c:v>
                </c:pt>
                <c:pt idx="2">
                  <c:v>736.4</c:v>
                </c:pt>
                <c:pt idx="3">
                  <c:v>597.79999999999995</c:v>
                </c:pt>
                <c:pt idx="4">
                  <c:v>299.00000000000006</c:v>
                </c:pt>
                <c:pt idx="5">
                  <c:v>318.60000000000002</c:v>
                </c:pt>
                <c:pt idx="6">
                  <c:v>530</c:v>
                </c:pt>
                <c:pt idx="7">
                  <c:v>101.6</c:v>
                </c:pt>
                <c:pt idx="8">
                  <c:v>440.80000000000007</c:v>
                </c:pt>
                <c:pt idx="9">
                  <c:v>0</c:v>
                </c:pt>
                <c:pt idx="10">
                  <c:v>0</c:v>
                </c:pt>
                <c:pt idx="11">
                  <c:v>888.99999999999989</c:v>
                </c:pt>
              </c:numCache>
            </c:numRef>
          </c:val>
        </c:ser>
        <c:axId val="94368896"/>
        <c:axId val="94370432"/>
      </c:barChart>
      <c:catAx>
        <c:axId val="94368896"/>
        <c:scaling>
          <c:orientation val="minMax"/>
        </c:scaling>
        <c:axPos val="b"/>
        <c:majorTickMark val="none"/>
        <c:tickLblPos val="nextTo"/>
        <c:crossAx val="94370432"/>
        <c:crosses val="autoZero"/>
        <c:auto val="1"/>
        <c:lblAlgn val="ctr"/>
        <c:lblOffset val="100"/>
      </c:catAx>
      <c:valAx>
        <c:axId val="9437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4368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10738890</c:v>
                </c:pt>
                <c:pt idx="3">
                  <c:v>11838890</c:v>
                </c:pt>
                <c:pt idx="4" formatCode="#,##0.0">
                  <c:v>12238890</c:v>
                </c:pt>
                <c:pt idx="5" formatCode="#,##0.0">
                  <c:v>11188890</c:v>
                </c:pt>
                <c:pt idx="6" formatCode="#,##0.0">
                  <c:v>10188890</c:v>
                </c:pt>
                <c:pt idx="7" formatCode="#,##0.0">
                  <c:v>10188890</c:v>
                </c:pt>
                <c:pt idx="8" formatCode="#,##0.0">
                  <c:v>10938890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axId val="102652544"/>
        <c:axId val="102666624"/>
      </c:barChart>
      <c:catAx>
        <c:axId val="102652544"/>
        <c:scaling>
          <c:orientation val="minMax"/>
        </c:scaling>
        <c:axPos val="b"/>
        <c:majorTickMark val="none"/>
        <c:tickLblPos val="nextTo"/>
        <c:crossAx val="102666624"/>
        <c:crosses val="autoZero"/>
        <c:auto val="1"/>
        <c:lblAlgn val="ctr"/>
        <c:lblOffset val="100"/>
      </c:catAx>
      <c:valAx>
        <c:axId val="10266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02652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3246.9999999999995</c:v>
                </c:pt>
                <c:pt idx="1">
                  <c:v>1161</c:v>
                </c:pt>
                <c:pt idx="2">
                  <c:v>3952.8</c:v>
                </c:pt>
                <c:pt idx="3">
                  <c:v>4489.4000000000005</c:v>
                </c:pt>
                <c:pt idx="4">
                  <c:v>2172.6</c:v>
                </c:pt>
                <c:pt idx="5">
                  <c:v>1706.6</c:v>
                </c:pt>
                <c:pt idx="6">
                  <c:v>1558.6</c:v>
                </c:pt>
                <c:pt idx="7">
                  <c:v>358.40000000000009</c:v>
                </c:pt>
                <c:pt idx="8">
                  <c:v>4847</c:v>
                </c:pt>
                <c:pt idx="9">
                  <c:v>2116.1999999999998</c:v>
                </c:pt>
                <c:pt idx="10">
                  <c:v>0</c:v>
                </c:pt>
                <c:pt idx="11">
                  <c:v>3199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6995.6</c:v>
                </c:pt>
                <c:pt idx="1">
                  <c:v>1983.8000000000002</c:v>
                </c:pt>
                <c:pt idx="2">
                  <c:v>7076.9999999999991</c:v>
                </c:pt>
                <c:pt idx="3">
                  <c:v>7019.5999999999995</c:v>
                </c:pt>
                <c:pt idx="4">
                  <c:v>2695.4</c:v>
                </c:pt>
                <c:pt idx="5">
                  <c:v>3203.1999999999994</c:v>
                </c:pt>
                <c:pt idx="6">
                  <c:v>2686.3999999999996</c:v>
                </c:pt>
                <c:pt idx="7">
                  <c:v>576.59999999999991</c:v>
                </c:pt>
                <c:pt idx="8">
                  <c:v>4511.5999999999995</c:v>
                </c:pt>
                <c:pt idx="9">
                  <c:v>0</c:v>
                </c:pt>
                <c:pt idx="10">
                  <c:v>0</c:v>
                </c:pt>
                <c:pt idx="11">
                  <c:v>5609</c:v>
                </c:pt>
              </c:numCache>
            </c:numRef>
          </c:val>
        </c:ser>
        <c:axId val="115729920"/>
        <c:axId val="115731456"/>
      </c:barChart>
      <c:catAx>
        <c:axId val="115729920"/>
        <c:scaling>
          <c:orientation val="minMax"/>
        </c:scaling>
        <c:axPos val="b"/>
        <c:majorTickMark val="none"/>
        <c:tickLblPos val="nextTo"/>
        <c:crossAx val="115731456"/>
        <c:crosses val="autoZero"/>
        <c:auto val="1"/>
        <c:lblAlgn val="ctr"/>
        <c:lblOffset val="100"/>
      </c:catAx>
      <c:valAx>
        <c:axId val="115731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15729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108388890</c:v>
                </c:pt>
                <c:pt idx="3">
                  <c:v>119388890</c:v>
                </c:pt>
                <c:pt idx="4" formatCode="#,##0.0">
                  <c:v>123388890</c:v>
                </c:pt>
                <c:pt idx="5" formatCode="#,##0.0">
                  <c:v>112888890</c:v>
                </c:pt>
                <c:pt idx="6" formatCode="#,##0.0">
                  <c:v>102888890</c:v>
                </c:pt>
                <c:pt idx="7" formatCode="#,##0.0">
                  <c:v>102888890</c:v>
                </c:pt>
                <c:pt idx="8" formatCode="#,##0.0">
                  <c:v>110388890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axId val="115657728"/>
        <c:axId val="115663616"/>
      </c:barChart>
      <c:catAx>
        <c:axId val="115657728"/>
        <c:scaling>
          <c:orientation val="minMax"/>
        </c:scaling>
        <c:axPos val="b"/>
        <c:majorTickMark val="none"/>
        <c:tickLblPos val="nextTo"/>
        <c:crossAx val="115663616"/>
        <c:crosses val="autoZero"/>
        <c:auto val="1"/>
        <c:lblAlgn val="ctr"/>
        <c:lblOffset val="100"/>
      </c:catAx>
      <c:valAx>
        <c:axId val="115663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1565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31440.399999999998</c:v>
                </c:pt>
                <c:pt idx="1">
                  <c:v>10712.600000000002</c:v>
                </c:pt>
                <c:pt idx="2">
                  <c:v>38163.4</c:v>
                </c:pt>
                <c:pt idx="3">
                  <c:v>42051.199999999997</c:v>
                </c:pt>
                <c:pt idx="4">
                  <c:v>21999.4</c:v>
                </c:pt>
                <c:pt idx="5">
                  <c:v>17364.800000000003</c:v>
                </c:pt>
                <c:pt idx="6">
                  <c:v>13007.4</c:v>
                </c:pt>
                <c:pt idx="7">
                  <c:v>2769.6000000000004</c:v>
                </c:pt>
                <c:pt idx="8">
                  <c:v>47228.4</c:v>
                </c:pt>
                <c:pt idx="9">
                  <c:v>19103.599999999999</c:v>
                </c:pt>
                <c:pt idx="10">
                  <c:v>0</c:v>
                </c:pt>
                <c:pt idx="11">
                  <c:v>28998.400000000001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67408</c:v>
                </c:pt>
                <c:pt idx="1">
                  <c:v>20522</c:v>
                </c:pt>
                <c:pt idx="2">
                  <c:v>70475</c:v>
                </c:pt>
                <c:pt idx="3">
                  <c:v>64816.4</c:v>
                </c:pt>
                <c:pt idx="4">
                  <c:v>27129.599999999999</c:v>
                </c:pt>
                <c:pt idx="5">
                  <c:v>32014.6</c:v>
                </c:pt>
                <c:pt idx="6">
                  <c:v>25754.400000000001</c:v>
                </c:pt>
                <c:pt idx="7">
                  <c:v>4873.6000000000004</c:v>
                </c:pt>
                <c:pt idx="8">
                  <c:v>44872.2</c:v>
                </c:pt>
                <c:pt idx="9">
                  <c:v>0</c:v>
                </c:pt>
                <c:pt idx="10">
                  <c:v>0</c:v>
                </c:pt>
                <c:pt idx="11">
                  <c:v>55605.2</c:v>
                </c:pt>
              </c:numCache>
            </c:numRef>
          </c:val>
        </c:ser>
        <c:axId val="115668480"/>
        <c:axId val="123420672"/>
      </c:barChart>
      <c:catAx>
        <c:axId val="115668480"/>
        <c:scaling>
          <c:orientation val="minMax"/>
        </c:scaling>
        <c:axPos val="b"/>
        <c:majorTickMark val="none"/>
        <c:tickLblPos val="nextTo"/>
        <c:crossAx val="123420672"/>
        <c:crosses val="autoZero"/>
        <c:auto val="1"/>
        <c:lblAlgn val="ctr"/>
        <c:lblOffset val="100"/>
      </c:catAx>
      <c:valAx>
        <c:axId val="123420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15668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40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28</c:v>
                </c:pt>
                <c:pt idx="7" formatCode="#,##0.0">
                  <c:v>28</c:v>
                </c:pt>
                <c:pt idx="8" formatCode="#,##0.0">
                  <c:v>40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axId val="90268032"/>
        <c:axId val="90269568"/>
      </c:barChart>
      <c:catAx>
        <c:axId val="90268032"/>
        <c:scaling>
          <c:orientation val="minMax"/>
        </c:scaling>
        <c:axPos val="b"/>
        <c:majorTickMark val="none"/>
        <c:tickLblPos val="nextTo"/>
        <c:crossAx val="90269568"/>
        <c:crosses val="autoZero"/>
        <c:auto val="1"/>
        <c:lblAlgn val="ctr"/>
        <c:lblOffset val="100"/>
      </c:catAx>
      <c:valAx>
        <c:axId val="90269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902680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1093888890</c:v>
                </c:pt>
                <c:pt idx="3">
                  <c:v>1203888890</c:v>
                </c:pt>
                <c:pt idx="4" formatCode="#,##0.0">
                  <c:v>1243888890</c:v>
                </c:pt>
                <c:pt idx="5" formatCode="#,##0.0">
                  <c:v>1138888890</c:v>
                </c:pt>
                <c:pt idx="6" formatCode="#,##0.0">
                  <c:v>1038888890</c:v>
                </c:pt>
                <c:pt idx="7" formatCode="#,##0.0">
                  <c:v>1038888890</c:v>
                </c:pt>
                <c:pt idx="8" formatCode="#,##0.0">
                  <c:v>1113888890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axId val="123461632"/>
        <c:axId val="123463168"/>
      </c:barChart>
      <c:catAx>
        <c:axId val="123461632"/>
        <c:scaling>
          <c:orientation val="minMax"/>
        </c:scaling>
        <c:axPos val="b"/>
        <c:majorTickMark val="none"/>
        <c:tickLblPos val="nextTo"/>
        <c:crossAx val="123463168"/>
        <c:crosses val="autoZero"/>
        <c:auto val="1"/>
        <c:lblAlgn val="ctr"/>
        <c:lblOffset val="100"/>
      </c:catAx>
      <c:valAx>
        <c:axId val="123463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23461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209.4</c:v>
                </c:pt>
                <c:pt idx="1">
                  <c:v>50.600000000000009</c:v>
                </c:pt>
                <c:pt idx="2">
                  <c:v>0</c:v>
                </c:pt>
                <c:pt idx="3">
                  <c:v>177.2</c:v>
                </c:pt>
                <c:pt idx="4">
                  <c:v>0</c:v>
                </c:pt>
                <c:pt idx="5">
                  <c:v>0</c:v>
                </c:pt>
                <c:pt idx="6">
                  <c:v>431</c:v>
                </c:pt>
                <c:pt idx="7">
                  <c:v>100.4</c:v>
                </c:pt>
                <c:pt idx="8">
                  <c:v>405.8</c:v>
                </c:pt>
                <c:pt idx="9">
                  <c:v>0</c:v>
                </c:pt>
                <c:pt idx="10">
                  <c:v>0</c:v>
                </c:pt>
                <c:pt idx="11">
                  <c:v>385.6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177</c:v>
                </c:pt>
                <c:pt idx="1">
                  <c:v>78.400000000000006</c:v>
                </c:pt>
                <c:pt idx="2">
                  <c:v>0</c:v>
                </c:pt>
                <c:pt idx="3">
                  <c:v>180.20000000000005</c:v>
                </c:pt>
                <c:pt idx="4">
                  <c:v>0</c:v>
                </c:pt>
                <c:pt idx="5">
                  <c:v>0</c:v>
                </c:pt>
                <c:pt idx="6">
                  <c:v>582.20000000000005</c:v>
                </c:pt>
                <c:pt idx="7">
                  <c:v>149.20000000000002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449.6</c:v>
                </c:pt>
              </c:numCache>
            </c:numRef>
          </c:val>
        </c:ser>
        <c:axId val="123369728"/>
        <c:axId val="123371520"/>
      </c:barChart>
      <c:catAx>
        <c:axId val="123369728"/>
        <c:scaling>
          <c:orientation val="minMax"/>
        </c:scaling>
        <c:axPos val="b"/>
        <c:majorTickMark val="none"/>
        <c:tickLblPos val="nextTo"/>
        <c:crossAx val="123371520"/>
        <c:crosses val="autoZero"/>
        <c:auto val="1"/>
        <c:lblAlgn val="ctr"/>
        <c:lblOffset val="100"/>
      </c:catAx>
      <c:valAx>
        <c:axId val="123371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23369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2234454</c:v>
                </c:pt>
                <c:pt idx="1">
                  <c:v>1802584</c:v>
                </c:pt>
                <c:pt idx="2">
                  <c:v>0</c:v>
                </c:pt>
                <c:pt idx="3">
                  <c:v>1740659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1762584</c:v>
                </c:pt>
                <c:pt idx="7" formatCode="#,##0.0">
                  <c:v>1762584</c:v>
                </c:pt>
                <c:pt idx="8" formatCode="#,##0.0">
                  <c:v>2079785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axId val="123384192"/>
        <c:axId val="123733504"/>
      </c:barChart>
      <c:catAx>
        <c:axId val="123384192"/>
        <c:scaling>
          <c:orientation val="minMax"/>
        </c:scaling>
        <c:axPos val="b"/>
        <c:majorTickMark val="none"/>
        <c:tickLblPos val="nextTo"/>
        <c:crossAx val="123733504"/>
        <c:crosses val="autoZero"/>
        <c:auto val="1"/>
        <c:lblAlgn val="ctr"/>
        <c:lblOffset val="100"/>
      </c:catAx>
      <c:valAx>
        <c:axId val="123733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23384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1001.4</c:v>
                </c:pt>
                <c:pt idx="1">
                  <c:v>381.6</c:v>
                </c:pt>
                <c:pt idx="2">
                  <c:v>0</c:v>
                </c:pt>
                <c:pt idx="3">
                  <c:v>853.8</c:v>
                </c:pt>
                <c:pt idx="4">
                  <c:v>0</c:v>
                </c:pt>
                <c:pt idx="5">
                  <c:v>0</c:v>
                </c:pt>
                <c:pt idx="6">
                  <c:v>825.59999999999991</c:v>
                </c:pt>
                <c:pt idx="7">
                  <c:v>192.6</c:v>
                </c:pt>
                <c:pt idx="8">
                  <c:v>1113.2</c:v>
                </c:pt>
                <c:pt idx="9">
                  <c:v>0</c:v>
                </c:pt>
                <c:pt idx="10">
                  <c:v>0</c:v>
                </c:pt>
                <c:pt idx="11">
                  <c:v>1043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1213.5999999999999</c:v>
                </c:pt>
                <c:pt idx="1">
                  <c:v>588.79999999999995</c:v>
                </c:pt>
                <c:pt idx="2">
                  <c:v>0</c:v>
                </c:pt>
                <c:pt idx="3">
                  <c:v>1191.8000000000002</c:v>
                </c:pt>
                <c:pt idx="4">
                  <c:v>0</c:v>
                </c:pt>
                <c:pt idx="5">
                  <c:v>0</c:v>
                </c:pt>
                <c:pt idx="6">
                  <c:v>1252.2</c:v>
                </c:pt>
                <c:pt idx="7">
                  <c:v>296.39999999999998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1322.9999999999998</c:v>
                </c:pt>
              </c:numCache>
            </c:numRef>
          </c:val>
        </c:ser>
        <c:axId val="124127872"/>
        <c:axId val="124146048"/>
      </c:barChart>
      <c:catAx>
        <c:axId val="124127872"/>
        <c:scaling>
          <c:orientation val="minMax"/>
        </c:scaling>
        <c:axPos val="b"/>
        <c:majorTickMark val="none"/>
        <c:tickLblPos val="nextTo"/>
        <c:crossAx val="124146048"/>
        <c:crosses val="autoZero"/>
        <c:auto val="1"/>
        <c:lblAlgn val="ctr"/>
        <c:lblOffset val="100"/>
      </c:catAx>
      <c:valAx>
        <c:axId val="124146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24127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23246001</c:v>
                </c:pt>
                <c:pt idx="1">
                  <c:v>18939843</c:v>
                </c:pt>
                <c:pt idx="2">
                  <c:v>0</c:v>
                </c:pt>
                <c:pt idx="3">
                  <c:v>18307918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18539843</c:v>
                </c:pt>
                <c:pt idx="7" formatCode="#,##0.0">
                  <c:v>18539843</c:v>
                </c:pt>
                <c:pt idx="8" formatCode="#,##0.0">
                  <c:v>21699332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axId val="124182912"/>
        <c:axId val="124184448"/>
      </c:barChart>
      <c:catAx>
        <c:axId val="124182912"/>
        <c:scaling>
          <c:orientation val="minMax"/>
        </c:scaling>
        <c:axPos val="b"/>
        <c:majorTickMark val="none"/>
        <c:tickLblPos val="nextTo"/>
        <c:crossAx val="124184448"/>
        <c:crosses val="autoZero"/>
        <c:auto val="1"/>
        <c:lblAlgn val="ctr"/>
        <c:lblOffset val="100"/>
      </c:catAx>
      <c:valAx>
        <c:axId val="12418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24182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9312.4000000000015</c:v>
                </c:pt>
                <c:pt idx="1">
                  <c:v>3843.2</c:v>
                </c:pt>
                <c:pt idx="2">
                  <c:v>0</c:v>
                </c:pt>
                <c:pt idx="3">
                  <c:v>7836.5999999999995</c:v>
                </c:pt>
                <c:pt idx="4">
                  <c:v>0</c:v>
                </c:pt>
                <c:pt idx="5">
                  <c:v>0</c:v>
                </c:pt>
                <c:pt idx="6">
                  <c:v>2931.2</c:v>
                </c:pt>
                <c:pt idx="7">
                  <c:v>947.00000000000011</c:v>
                </c:pt>
                <c:pt idx="8">
                  <c:v>6792</c:v>
                </c:pt>
                <c:pt idx="9">
                  <c:v>0</c:v>
                </c:pt>
                <c:pt idx="10">
                  <c:v>0</c:v>
                </c:pt>
                <c:pt idx="11">
                  <c:v>6819.4000000000005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11686.2</c:v>
                </c:pt>
                <c:pt idx="1">
                  <c:v>5750.4000000000005</c:v>
                </c:pt>
                <c:pt idx="2">
                  <c:v>0</c:v>
                </c:pt>
                <c:pt idx="3">
                  <c:v>11482.2</c:v>
                </c:pt>
                <c:pt idx="4">
                  <c:v>0</c:v>
                </c:pt>
                <c:pt idx="5">
                  <c:v>0</c:v>
                </c:pt>
                <c:pt idx="6">
                  <c:v>6485.6</c:v>
                </c:pt>
                <c:pt idx="7">
                  <c:v>1291.5999999999999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9021.6</c:v>
                </c:pt>
              </c:numCache>
            </c:numRef>
          </c:val>
        </c:ser>
        <c:axId val="123313152"/>
        <c:axId val="124494592"/>
      </c:barChart>
      <c:catAx>
        <c:axId val="123313152"/>
        <c:scaling>
          <c:orientation val="minMax"/>
        </c:scaling>
        <c:axPos val="b"/>
        <c:majorTickMark val="none"/>
        <c:tickLblPos val="nextTo"/>
        <c:crossAx val="124494592"/>
        <c:crosses val="autoZero"/>
        <c:auto val="1"/>
        <c:lblAlgn val="ctr"/>
        <c:lblOffset val="100"/>
      </c:catAx>
      <c:valAx>
        <c:axId val="124494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23313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240923562</c:v>
                </c:pt>
                <c:pt idx="1">
                  <c:v>198474556</c:v>
                </c:pt>
                <c:pt idx="2">
                  <c:v>0</c:v>
                </c:pt>
                <c:pt idx="3">
                  <c:v>192142631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194474556</c:v>
                </c:pt>
                <c:pt idx="7" formatCode="#,##0.0">
                  <c:v>194474556</c:v>
                </c:pt>
                <c:pt idx="8" formatCode="#,##0.0">
                  <c:v>226056893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axId val="124527360"/>
        <c:axId val="124528896"/>
      </c:barChart>
      <c:catAx>
        <c:axId val="124527360"/>
        <c:scaling>
          <c:orientation val="minMax"/>
        </c:scaling>
        <c:axPos val="b"/>
        <c:majorTickMark val="none"/>
        <c:tickLblPos val="nextTo"/>
        <c:crossAx val="124528896"/>
        <c:crosses val="autoZero"/>
        <c:auto val="1"/>
        <c:lblAlgn val="ctr"/>
        <c:lblOffset val="100"/>
      </c:catAx>
      <c:valAx>
        <c:axId val="124528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24527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2635.6000000000004</c:v>
                </c:pt>
                <c:pt idx="1">
                  <c:v>855.99999999999989</c:v>
                </c:pt>
                <c:pt idx="2">
                  <c:v>0</c:v>
                </c:pt>
                <c:pt idx="3">
                  <c:v>2032.3999999999999</c:v>
                </c:pt>
                <c:pt idx="4">
                  <c:v>0</c:v>
                </c:pt>
                <c:pt idx="5">
                  <c:v>0</c:v>
                </c:pt>
                <c:pt idx="6">
                  <c:v>1099.8</c:v>
                </c:pt>
                <c:pt idx="7">
                  <c:v>448</c:v>
                </c:pt>
                <c:pt idx="8">
                  <c:v>1262.6000000000001</c:v>
                </c:pt>
                <c:pt idx="9">
                  <c:v>0</c:v>
                </c:pt>
                <c:pt idx="10">
                  <c:v>0</c:v>
                </c:pt>
                <c:pt idx="11">
                  <c:v>2190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2653.9999999999991</c:v>
                </c:pt>
                <c:pt idx="1">
                  <c:v>1106.5999999999999</c:v>
                </c:pt>
                <c:pt idx="2">
                  <c:v>0</c:v>
                </c:pt>
                <c:pt idx="3">
                  <c:v>3870.6000000000004</c:v>
                </c:pt>
                <c:pt idx="4">
                  <c:v>0</c:v>
                </c:pt>
                <c:pt idx="5">
                  <c:v>0</c:v>
                </c:pt>
                <c:pt idx="6">
                  <c:v>1899.9999999999998</c:v>
                </c:pt>
                <c:pt idx="7">
                  <c:v>294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2167.2000000000003</c:v>
                </c:pt>
              </c:numCache>
            </c:numRef>
          </c:val>
        </c:ser>
        <c:axId val="124599680"/>
        <c:axId val="123704448"/>
      </c:barChart>
      <c:catAx>
        <c:axId val="124599680"/>
        <c:scaling>
          <c:orientation val="minMax"/>
        </c:scaling>
        <c:axPos val="b"/>
        <c:majorTickMark val="none"/>
        <c:tickLblPos val="nextTo"/>
        <c:crossAx val="123704448"/>
        <c:crosses val="autoZero"/>
        <c:auto val="1"/>
        <c:lblAlgn val="ctr"/>
        <c:lblOffset val="100"/>
      </c:catAx>
      <c:valAx>
        <c:axId val="12370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4599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84221352</c:v>
                </c:pt>
                <c:pt idx="1">
                  <c:v>73494967</c:v>
                </c:pt>
                <c:pt idx="2">
                  <c:v>0</c:v>
                </c:pt>
                <c:pt idx="3">
                  <c:v>79509317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72855111</c:v>
                </c:pt>
                <c:pt idx="7" formatCode="#,##0.0">
                  <c:v>72799435</c:v>
                </c:pt>
                <c:pt idx="8" formatCode="#,##0.0">
                  <c:v>76301917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axId val="123729024"/>
        <c:axId val="123730560"/>
      </c:barChart>
      <c:catAx>
        <c:axId val="123729024"/>
        <c:scaling>
          <c:orientation val="minMax"/>
        </c:scaling>
        <c:axPos val="b"/>
        <c:majorTickMark val="none"/>
        <c:tickLblPos val="nextTo"/>
        <c:crossAx val="123730560"/>
        <c:crosses val="autoZero"/>
        <c:auto val="1"/>
        <c:lblAlgn val="ctr"/>
        <c:lblOffset val="100"/>
      </c:catAx>
      <c:valAx>
        <c:axId val="12373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237290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26047.200000000001</c:v>
                </c:pt>
                <c:pt idx="1">
                  <c:v>8320.1999999999989</c:v>
                </c:pt>
                <c:pt idx="2">
                  <c:v>0</c:v>
                </c:pt>
                <c:pt idx="3">
                  <c:v>19934.800000000003</c:v>
                </c:pt>
                <c:pt idx="4">
                  <c:v>0</c:v>
                </c:pt>
                <c:pt idx="5">
                  <c:v>0</c:v>
                </c:pt>
                <c:pt idx="6">
                  <c:v>7891.7999999999993</c:v>
                </c:pt>
                <c:pt idx="7">
                  <c:v>2247</c:v>
                </c:pt>
                <c:pt idx="8">
                  <c:v>9664.6</c:v>
                </c:pt>
                <c:pt idx="9">
                  <c:v>0</c:v>
                </c:pt>
                <c:pt idx="10">
                  <c:v>0</c:v>
                </c:pt>
                <c:pt idx="11">
                  <c:v>17614.2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26452.199999999993</c:v>
                </c:pt>
                <c:pt idx="1">
                  <c:v>11026.800000000001</c:v>
                </c:pt>
                <c:pt idx="2">
                  <c:v>0</c:v>
                </c:pt>
                <c:pt idx="3">
                  <c:v>38843.799999999996</c:v>
                </c:pt>
                <c:pt idx="4">
                  <c:v>0</c:v>
                </c:pt>
                <c:pt idx="5">
                  <c:v>0</c:v>
                </c:pt>
                <c:pt idx="6">
                  <c:v>16066.600000000002</c:v>
                </c:pt>
                <c:pt idx="7">
                  <c:v>2572.1999999999998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21369.599999999999</c:v>
                </c:pt>
              </c:numCache>
            </c:numRef>
          </c:val>
        </c:ser>
        <c:axId val="126144512"/>
        <c:axId val="126146048"/>
      </c:barChart>
      <c:catAx>
        <c:axId val="126144512"/>
        <c:scaling>
          <c:orientation val="minMax"/>
        </c:scaling>
        <c:axPos val="b"/>
        <c:majorTickMark val="none"/>
        <c:tickLblPos val="nextTo"/>
        <c:crossAx val="126146048"/>
        <c:crosses val="autoZero"/>
        <c:auto val="1"/>
        <c:lblAlgn val="ctr"/>
        <c:lblOffset val="100"/>
      </c:catAx>
      <c:valAx>
        <c:axId val="126146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6144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257.60000000000002</c:v>
                </c:pt>
                <c:pt idx="1">
                  <c:v>56.199999999999989</c:v>
                </c:pt>
                <c:pt idx="2">
                  <c:v>179.8</c:v>
                </c:pt>
                <c:pt idx="3">
                  <c:v>331.79999999999995</c:v>
                </c:pt>
                <c:pt idx="4">
                  <c:v>356.6</c:v>
                </c:pt>
                <c:pt idx="5">
                  <c:v>108</c:v>
                </c:pt>
                <c:pt idx="6">
                  <c:v>477.79999999999995</c:v>
                </c:pt>
                <c:pt idx="7">
                  <c:v>48.800000000000004</c:v>
                </c:pt>
                <c:pt idx="8">
                  <c:v>733.6</c:v>
                </c:pt>
                <c:pt idx="9">
                  <c:v>402.2</c:v>
                </c:pt>
                <c:pt idx="10">
                  <c:v>360.8</c:v>
                </c:pt>
                <c:pt idx="11">
                  <c:v>339.4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334.40000000000003</c:v>
                </c:pt>
                <c:pt idx="1">
                  <c:v>125.80000000000001</c:v>
                </c:pt>
                <c:pt idx="2">
                  <c:v>301.40000000000003</c:v>
                </c:pt>
                <c:pt idx="3">
                  <c:v>322.20000000000005</c:v>
                </c:pt>
                <c:pt idx="4">
                  <c:v>231.40000000000003</c:v>
                </c:pt>
                <c:pt idx="5">
                  <c:v>101.99999999999997</c:v>
                </c:pt>
                <c:pt idx="6">
                  <c:v>525.79999999999995</c:v>
                </c:pt>
                <c:pt idx="7">
                  <c:v>101.6</c:v>
                </c:pt>
                <c:pt idx="8">
                  <c:v>739.4</c:v>
                </c:pt>
                <c:pt idx="9">
                  <c:v>967</c:v>
                </c:pt>
                <c:pt idx="10">
                  <c:v>287.60000000000002</c:v>
                </c:pt>
                <c:pt idx="11">
                  <c:v>299.40000000000003</c:v>
                </c:pt>
              </c:numCache>
            </c:numRef>
          </c:val>
        </c:ser>
        <c:axId val="92752896"/>
        <c:axId val="92791552"/>
      </c:barChart>
      <c:catAx>
        <c:axId val="92752896"/>
        <c:scaling>
          <c:orientation val="minMax"/>
        </c:scaling>
        <c:axPos val="b"/>
        <c:majorTickMark val="none"/>
        <c:tickLblPos val="nextTo"/>
        <c:crossAx val="92791552"/>
        <c:crosses val="autoZero"/>
        <c:auto val="1"/>
        <c:lblAlgn val="ctr"/>
        <c:lblOffset val="100"/>
      </c:catAx>
      <c:valAx>
        <c:axId val="92791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2752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852257852</c:v>
                </c:pt>
                <c:pt idx="1">
                  <c:v>745341367</c:v>
                </c:pt>
                <c:pt idx="2">
                  <c:v>0</c:v>
                </c:pt>
                <c:pt idx="3">
                  <c:v>805529997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738942711</c:v>
                </c:pt>
                <c:pt idx="7" formatCode="#,##0.0">
                  <c:v>738360967</c:v>
                </c:pt>
                <c:pt idx="8" formatCode="#,##0.0">
                  <c:v>773410117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axId val="126158336"/>
        <c:axId val="126159872"/>
      </c:barChart>
      <c:catAx>
        <c:axId val="126158336"/>
        <c:scaling>
          <c:orientation val="minMax"/>
        </c:scaling>
        <c:axPos val="b"/>
        <c:majorTickMark val="none"/>
        <c:tickLblPos val="nextTo"/>
        <c:crossAx val="126159872"/>
        <c:crosses val="autoZero"/>
        <c:auto val="1"/>
        <c:lblAlgn val="ctr"/>
        <c:lblOffset val="100"/>
      </c:catAx>
      <c:valAx>
        <c:axId val="12615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26158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271733.59999999998</c:v>
                </c:pt>
                <c:pt idx="1">
                  <c:v>85048.599999999991</c:v>
                </c:pt>
                <c:pt idx="2">
                  <c:v>0</c:v>
                </c:pt>
                <c:pt idx="3">
                  <c:v>203636.8</c:v>
                </c:pt>
                <c:pt idx="4">
                  <c:v>0</c:v>
                </c:pt>
                <c:pt idx="5">
                  <c:v>0</c:v>
                </c:pt>
                <c:pt idx="6">
                  <c:v>76735.8</c:v>
                </c:pt>
                <c:pt idx="7">
                  <c:v>20908</c:v>
                </c:pt>
                <c:pt idx="8">
                  <c:v>93016</c:v>
                </c:pt>
                <c:pt idx="9">
                  <c:v>0</c:v>
                </c:pt>
                <c:pt idx="10">
                  <c:v>0</c:v>
                </c:pt>
                <c:pt idx="11">
                  <c:v>175657.4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287687.80000000005</c:v>
                </c:pt>
                <c:pt idx="1">
                  <c:v>112689.60000000005</c:v>
                </c:pt>
                <c:pt idx="2">
                  <c:v>0</c:v>
                </c:pt>
                <c:pt idx="3">
                  <c:v>443521.00000000006</c:v>
                </c:pt>
                <c:pt idx="4">
                  <c:v>0</c:v>
                </c:pt>
                <c:pt idx="5">
                  <c:v>0</c:v>
                </c:pt>
                <c:pt idx="6">
                  <c:v>159106</c:v>
                </c:pt>
                <c:pt idx="7">
                  <c:v>26615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216009.19999999998</c:v>
                </c:pt>
              </c:numCache>
            </c:numRef>
          </c:val>
        </c:ser>
        <c:axId val="124355712"/>
        <c:axId val="124357248"/>
      </c:barChart>
      <c:catAx>
        <c:axId val="124355712"/>
        <c:scaling>
          <c:orientation val="minMax"/>
        </c:scaling>
        <c:axPos val="b"/>
        <c:majorTickMark val="none"/>
        <c:tickLblPos val="nextTo"/>
        <c:crossAx val="124357248"/>
        <c:crosses val="autoZero"/>
        <c:auto val="1"/>
        <c:lblAlgn val="ctr"/>
        <c:lblOffset val="100"/>
      </c:catAx>
      <c:valAx>
        <c:axId val="124357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4355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8630035452</c:v>
                </c:pt>
                <c:pt idx="1">
                  <c:v>7557405367</c:v>
                </c:pt>
                <c:pt idx="2">
                  <c:v>0</c:v>
                </c:pt>
                <c:pt idx="3">
                  <c:v>8204327997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7493418711</c:v>
                </c:pt>
                <c:pt idx="7" formatCode="#,##0.0">
                  <c:v>7487592567</c:v>
                </c:pt>
                <c:pt idx="8" formatCode="#,##0.0">
                  <c:v>7838092117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axId val="124918400"/>
        <c:axId val="124928384"/>
      </c:barChart>
      <c:catAx>
        <c:axId val="124918400"/>
        <c:scaling>
          <c:orientation val="minMax"/>
        </c:scaling>
        <c:axPos val="b"/>
        <c:majorTickMark val="none"/>
        <c:tickLblPos val="nextTo"/>
        <c:crossAx val="124928384"/>
        <c:crosses val="autoZero"/>
        <c:auto val="1"/>
        <c:lblAlgn val="ctr"/>
        <c:lblOffset val="100"/>
      </c:catAx>
      <c:valAx>
        <c:axId val="124928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124918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1636.2000000000003</c:v>
                </c:pt>
                <c:pt idx="1">
                  <c:v>600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934</c:v>
                </c:pt>
                <c:pt idx="7">
                  <c:v>318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2030</c:v>
                </c:pt>
                <c:pt idx="1">
                  <c:v>1095.1999999999998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1893.3999999999999</c:v>
                </c:pt>
                <c:pt idx="7">
                  <c:v>287.79999999999995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26780928"/>
        <c:axId val="126782464"/>
      </c:barChart>
      <c:catAx>
        <c:axId val="126780928"/>
        <c:scaling>
          <c:orientation val="minMax"/>
        </c:scaling>
        <c:axPos val="b"/>
        <c:majorTickMark val="none"/>
        <c:tickLblPos val="nextTo"/>
        <c:crossAx val="126782464"/>
        <c:crosses val="autoZero"/>
        <c:auto val="1"/>
        <c:lblAlgn val="ctr"/>
        <c:lblOffset val="100"/>
      </c:catAx>
      <c:valAx>
        <c:axId val="126782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26780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62705819</c:v>
                </c:pt>
                <c:pt idx="1">
                  <c:v>49485608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48172180</c:v>
                </c:pt>
                <c:pt idx="7" formatCode="#,##0.0">
                  <c:v>48172180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axId val="126823424"/>
        <c:axId val="126841600"/>
      </c:barChart>
      <c:catAx>
        <c:axId val="126823424"/>
        <c:scaling>
          <c:orientation val="minMax"/>
        </c:scaling>
        <c:axPos val="b"/>
        <c:majorTickMark val="none"/>
        <c:tickLblPos val="nextTo"/>
        <c:crossAx val="126841600"/>
        <c:crosses val="autoZero"/>
        <c:auto val="1"/>
        <c:lblAlgn val="ctr"/>
        <c:lblOffset val="100"/>
      </c:catAx>
      <c:valAx>
        <c:axId val="126841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26823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137344.59999999998</c:v>
                </c:pt>
                <c:pt idx="1">
                  <c:v>64334.8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61435</c:v>
                </c:pt>
                <c:pt idx="7">
                  <c:v>23136.2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209050</c:v>
                </c:pt>
                <c:pt idx="1">
                  <c:v>139383.40000000002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113345.99999999999</c:v>
                </c:pt>
                <c:pt idx="7">
                  <c:v>24368.799999999996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26592896"/>
        <c:axId val="126594432"/>
      </c:barChart>
      <c:catAx>
        <c:axId val="126592896"/>
        <c:scaling>
          <c:orientation val="minMax"/>
        </c:scaling>
        <c:axPos val="b"/>
        <c:majorTickMark val="none"/>
        <c:tickLblPos val="nextTo"/>
        <c:crossAx val="126594432"/>
        <c:crosses val="autoZero"/>
        <c:auto val="1"/>
        <c:lblAlgn val="ctr"/>
        <c:lblOffset val="100"/>
      </c:catAx>
      <c:valAx>
        <c:axId val="126594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126592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0</c:v>
                </c:pt>
                <c:pt idx="1">
                  <c:v>9490545095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9388310815</c:v>
                </c:pt>
                <c:pt idx="7" formatCode="#,##0.0">
                  <c:v>9388310815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axId val="127143296"/>
        <c:axId val="127149184"/>
      </c:barChart>
      <c:catAx>
        <c:axId val="127143296"/>
        <c:scaling>
          <c:orientation val="minMax"/>
        </c:scaling>
        <c:axPos val="b"/>
        <c:majorTickMark val="none"/>
        <c:tickLblPos val="nextTo"/>
        <c:crossAx val="127149184"/>
        <c:crosses val="autoZero"/>
        <c:auto val="1"/>
        <c:lblAlgn val="ctr"/>
        <c:lblOffset val="100"/>
      </c:catAx>
      <c:valAx>
        <c:axId val="12714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127143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4777780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4777768</c:v>
                </c:pt>
                <c:pt idx="7" formatCode="#,##0.0">
                  <c:v>4777768</c:v>
                </c:pt>
                <c:pt idx="8" formatCode="#,##0.0">
                  <c:v>4777780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axId val="92832512"/>
        <c:axId val="92834048"/>
      </c:barChart>
      <c:catAx>
        <c:axId val="92832512"/>
        <c:scaling>
          <c:orientation val="minMax"/>
        </c:scaling>
        <c:axPos val="b"/>
        <c:majorTickMark val="none"/>
        <c:tickLblPos val="nextTo"/>
        <c:crossAx val="92834048"/>
        <c:crosses val="autoZero"/>
        <c:auto val="1"/>
        <c:lblAlgn val="ctr"/>
        <c:lblOffset val="100"/>
      </c:catAx>
      <c:valAx>
        <c:axId val="92834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92832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1734.9999999999998</c:v>
                </c:pt>
                <c:pt idx="1">
                  <c:v>524.00000000000011</c:v>
                </c:pt>
                <c:pt idx="2">
                  <c:v>1618.1999999999998</c:v>
                </c:pt>
                <c:pt idx="3">
                  <c:v>2690</c:v>
                </c:pt>
                <c:pt idx="4">
                  <c:v>1499.6</c:v>
                </c:pt>
                <c:pt idx="5">
                  <c:v>735.8</c:v>
                </c:pt>
                <c:pt idx="6">
                  <c:v>889</c:v>
                </c:pt>
                <c:pt idx="7">
                  <c:v>149.19999999999999</c:v>
                </c:pt>
                <c:pt idx="8">
                  <c:v>3943.4</c:v>
                </c:pt>
                <c:pt idx="9">
                  <c:v>1037</c:v>
                </c:pt>
                <c:pt idx="10">
                  <c:v>730</c:v>
                </c:pt>
                <c:pt idx="11">
                  <c:v>1329.8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2975.8</c:v>
                </c:pt>
                <c:pt idx="1">
                  <c:v>1164</c:v>
                </c:pt>
                <c:pt idx="2">
                  <c:v>2891.6000000000004</c:v>
                </c:pt>
                <c:pt idx="3">
                  <c:v>2957.7999999999997</c:v>
                </c:pt>
                <c:pt idx="4">
                  <c:v>1542.8000000000002</c:v>
                </c:pt>
                <c:pt idx="5">
                  <c:v>1016.1999999999998</c:v>
                </c:pt>
                <c:pt idx="6">
                  <c:v>1199.4000000000001</c:v>
                </c:pt>
                <c:pt idx="7">
                  <c:v>280.2</c:v>
                </c:pt>
                <c:pt idx="8">
                  <c:v>4076</c:v>
                </c:pt>
                <c:pt idx="9">
                  <c:v>6207.2000000000007</c:v>
                </c:pt>
                <c:pt idx="10">
                  <c:v>1163.5999999999999</c:v>
                </c:pt>
                <c:pt idx="11">
                  <c:v>1876.8</c:v>
                </c:pt>
              </c:numCache>
            </c:numRef>
          </c:val>
        </c:ser>
        <c:axId val="93945216"/>
        <c:axId val="94196864"/>
      </c:barChart>
      <c:catAx>
        <c:axId val="93945216"/>
        <c:scaling>
          <c:orientation val="minMax"/>
        </c:scaling>
        <c:axPos val="b"/>
        <c:majorTickMark val="none"/>
        <c:tickLblPos val="nextTo"/>
        <c:crossAx val="94196864"/>
        <c:crosses val="autoZero"/>
        <c:auto val="1"/>
        <c:lblAlgn val="ctr"/>
        <c:lblOffset val="100"/>
      </c:catAx>
      <c:valAx>
        <c:axId val="9419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3945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49777780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49777768</c:v>
                </c:pt>
                <c:pt idx="7" formatCode="#,##0.0">
                  <c:v>49777768</c:v>
                </c:pt>
                <c:pt idx="8" formatCode="#,##0.0">
                  <c:v>49777780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axId val="94225536"/>
        <c:axId val="94227072"/>
      </c:barChart>
      <c:catAx>
        <c:axId val="94225536"/>
        <c:scaling>
          <c:orientation val="minMax"/>
        </c:scaling>
        <c:axPos val="b"/>
        <c:majorTickMark val="none"/>
        <c:tickLblPos val="nextTo"/>
        <c:crossAx val="94227072"/>
        <c:crosses val="autoZero"/>
        <c:auto val="1"/>
        <c:lblAlgn val="ctr"/>
        <c:lblOffset val="100"/>
      </c:catAx>
      <c:valAx>
        <c:axId val="94227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94225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16435.2</c:v>
                </c:pt>
                <c:pt idx="1">
                  <c:v>5379.7999999999993</c:v>
                </c:pt>
                <c:pt idx="2">
                  <c:v>16120</c:v>
                </c:pt>
                <c:pt idx="3">
                  <c:v>26456.800000000003</c:v>
                </c:pt>
                <c:pt idx="4">
                  <c:v>13298.4</c:v>
                </c:pt>
                <c:pt idx="5">
                  <c:v>6984.9999999999991</c:v>
                </c:pt>
                <c:pt idx="6">
                  <c:v>5055</c:v>
                </c:pt>
                <c:pt idx="7">
                  <c:v>1176.8</c:v>
                </c:pt>
                <c:pt idx="8">
                  <c:v>32560.400000000001</c:v>
                </c:pt>
                <c:pt idx="9">
                  <c:v>7373.8</c:v>
                </c:pt>
                <c:pt idx="10">
                  <c:v>4322</c:v>
                </c:pt>
                <c:pt idx="11">
                  <c:v>10082.4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29662.800000000007</c:v>
                </c:pt>
                <c:pt idx="1">
                  <c:v>11585.4</c:v>
                </c:pt>
                <c:pt idx="2">
                  <c:v>29072.000000000004</c:v>
                </c:pt>
                <c:pt idx="3">
                  <c:v>29184.400000000001</c:v>
                </c:pt>
                <c:pt idx="4">
                  <c:v>14436.199999999999</c:v>
                </c:pt>
                <c:pt idx="5">
                  <c:v>10036.200000000001</c:v>
                </c:pt>
                <c:pt idx="6">
                  <c:v>7526.4000000000005</c:v>
                </c:pt>
                <c:pt idx="7">
                  <c:v>2234</c:v>
                </c:pt>
                <c:pt idx="8">
                  <c:v>39020.199999999997</c:v>
                </c:pt>
                <c:pt idx="9">
                  <c:v>59073</c:v>
                </c:pt>
                <c:pt idx="10">
                  <c:v>9315.2000000000007</c:v>
                </c:pt>
                <c:pt idx="11">
                  <c:v>15711.800000000001</c:v>
                </c:pt>
              </c:numCache>
            </c:numRef>
          </c:val>
        </c:ser>
        <c:axId val="94444928"/>
        <c:axId val="94483584"/>
      </c:barChart>
      <c:catAx>
        <c:axId val="94444928"/>
        <c:scaling>
          <c:orientation val="minMax"/>
        </c:scaling>
        <c:axPos val="b"/>
        <c:majorTickMark val="none"/>
        <c:tickLblPos val="nextTo"/>
        <c:crossAx val="94483584"/>
        <c:crosses val="autoZero"/>
        <c:auto val="1"/>
        <c:lblAlgn val="ctr"/>
        <c:lblOffset val="100"/>
      </c:catAx>
      <c:valAx>
        <c:axId val="9448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4444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517777780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517777768</c:v>
                </c:pt>
                <c:pt idx="7" formatCode="#,##0.0">
                  <c:v>517777768</c:v>
                </c:pt>
                <c:pt idx="8" formatCode="#,##0.0">
                  <c:v>517777780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axId val="96081024"/>
        <c:axId val="96082560"/>
      </c:barChart>
      <c:catAx>
        <c:axId val="96081024"/>
        <c:scaling>
          <c:orientation val="minMax"/>
        </c:scaling>
        <c:axPos val="b"/>
        <c:majorTickMark val="none"/>
        <c:tickLblPos val="nextTo"/>
        <c:crossAx val="96082560"/>
        <c:crosses val="autoZero"/>
        <c:auto val="1"/>
        <c:lblAlgn val="ctr"/>
        <c:lblOffset val="100"/>
      </c:catAx>
      <c:valAx>
        <c:axId val="96082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96081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241.40000000000003</c:v>
                </c:pt>
                <c:pt idx="1">
                  <c:v>96.4</c:v>
                </c:pt>
                <c:pt idx="2">
                  <c:v>221.60000000000002</c:v>
                </c:pt>
                <c:pt idx="3">
                  <c:v>357.6</c:v>
                </c:pt>
                <c:pt idx="4">
                  <c:v>173.8</c:v>
                </c:pt>
                <c:pt idx="5">
                  <c:v>110.2</c:v>
                </c:pt>
                <c:pt idx="6">
                  <c:v>243.99999999999997</c:v>
                </c:pt>
                <c:pt idx="7">
                  <c:v>129.20000000000002</c:v>
                </c:pt>
                <c:pt idx="8">
                  <c:v>537.20000000000005</c:v>
                </c:pt>
                <c:pt idx="9">
                  <c:v>294.39999999999998</c:v>
                </c:pt>
                <c:pt idx="10">
                  <c:v>260.79999999999995</c:v>
                </c:pt>
                <c:pt idx="11">
                  <c:v>264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465.59999999999997</c:v>
                </c:pt>
                <c:pt idx="1">
                  <c:v>163.20000000000002</c:v>
                </c:pt>
                <c:pt idx="2">
                  <c:v>438.59999999999997</c:v>
                </c:pt>
                <c:pt idx="3">
                  <c:v>397.4</c:v>
                </c:pt>
                <c:pt idx="4">
                  <c:v>152.99999999999997</c:v>
                </c:pt>
                <c:pt idx="5">
                  <c:v>134.80000000000001</c:v>
                </c:pt>
                <c:pt idx="6">
                  <c:v>289.80000000000007</c:v>
                </c:pt>
                <c:pt idx="7">
                  <c:v>72.599999999999966</c:v>
                </c:pt>
                <c:pt idx="8">
                  <c:v>531.79999999999995</c:v>
                </c:pt>
                <c:pt idx="9">
                  <c:v>741.2</c:v>
                </c:pt>
                <c:pt idx="10">
                  <c:v>325.80000000000007</c:v>
                </c:pt>
                <c:pt idx="11">
                  <c:v>291.00000000000006</c:v>
                </c:pt>
              </c:numCache>
            </c:numRef>
          </c:val>
        </c:ser>
        <c:axId val="96317440"/>
        <c:axId val="96318976"/>
      </c:barChart>
      <c:catAx>
        <c:axId val="96317440"/>
        <c:scaling>
          <c:orientation val="minMax"/>
        </c:scaling>
        <c:axPos val="b"/>
        <c:majorTickMark val="none"/>
        <c:tickLblPos val="nextTo"/>
        <c:crossAx val="96318976"/>
        <c:crosses val="autoZero"/>
        <c:auto val="1"/>
        <c:lblAlgn val="ctr"/>
        <c:lblOffset val="100"/>
      </c:catAx>
      <c:valAx>
        <c:axId val="96318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96317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AverageNumbers[](Table21[Newtonsoft])</calculatedColumnFormula>
    </tableColumn>
    <tableColumn id="3" name="Revenj" dataDxfId="382"/>
    <tableColumn id="11" name="fastJSON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 Platform Java" dataDxfId="376"/>
    <tableColumn id="9" name="Genson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AverageNumbers[](Table21[Newtonsoft])</calculatedColumnFormula>
    </tableColumn>
    <tableColumn id="3" name="Revenj" dataDxfId="370"/>
    <tableColumn id="11" name="fastJSON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 Platform Java" dataDxfId="364"/>
    <tableColumn id="9" name="Genson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AverageNumbers[](Table26[Newtonsoft])</calculatedColumnFormula>
    </tableColumn>
    <tableColumn id="3" name="Revenj" dataDxfId="358"/>
    <tableColumn id="11" name="fastJSON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 Platform Java" dataDxfId="352"/>
    <tableColumn id="9" name="Genson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AverageNumbers[](Table26[Newtonsoft])</calculatedColumnFormula>
    </tableColumn>
    <tableColumn id="3" name="Revenj" dataDxfId="346"/>
    <tableColumn id="11" name="fastJSON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 Platform Java" dataDxfId="340"/>
    <tableColumn id="9" name="Genson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fastJSON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 Platform Java" dataDxfId="424"/>
    <tableColumn id="9" name="Genson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AverageNumbers[](Table31[Newtonsoft])</calculatedColumnFormula>
    </tableColumn>
    <tableColumn id="3" name="Revenj" dataDxfId="334"/>
    <tableColumn id="11" name="fastJSON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 Platform Java" dataDxfId="328"/>
    <tableColumn id="9" name="Genson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AverageNumbers[](Table31[Newtonsoft])</calculatedColumnFormula>
    </tableColumn>
    <tableColumn id="3" name="Revenj" dataDxfId="322"/>
    <tableColumn id="11" name="fastJSON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 Platform Java" dataDxfId="316"/>
    <tableColumn id="9" name="Genson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AverageNumbers[](Table36[Newtonsoft])</calculatedColumnFormula>
    </tableColumn>
    <tableColumn id="3" name="Revenj" dataDxfId="310"/>
    <tableColumn id="11" name="fastJSON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 Platform Java" dataDxfId="304"/>
    <tableColumn id="9" name="Genson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AverageNumbers[](Table36[Newtonsoft])</calculatedColumnFormula>
    </tableColumn>
    <tableColumn id="3" name="Revenj" dataDxfId="298"/>
    <tableColumn id="11" name="fastJSON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 Platform Java" dataDxfId="292"/>
    <tableColumn id="9" name="Genson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fastJSON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 Platform Java" dataDxfId="412"/>
    <tableColumn id="9" name="Genson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AverageNumbers[](Table41[Newtonsoft])</calculatedColumnFormula>
    </tableColumn>
    <tableColumn id="3" name="Revenj" dataDxfId="286"/>
    <tableColumn id="11" name="fastJSON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 Platform Java" dataDxfId="280"/>
    <tableColumn id="9" name="Genson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AverageNumbers[](Table41[Newtonsoft])</calculatedColumnFormula>
    </tableColumn>
    <tableColumn id="3" name="Revenj" dataDxfId="274"/>
    <tableColumn id="11" name="fastJSON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 Platform Java" dataDxfId="268"/>
    <tableColumn id="9" name="Genson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AverageNumbers[](Table46[Newtonsoft])</calculatedColumnFormula>
    </tableColumn>
    <tableColumn id="3" name="Revenj" dataDxfId="262"/>
    <tableColumn id="11" name="fastJSON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 Platform Java" dataDxfId="256"/>
    <tableColumn id="9" name="Genson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AverageNumbers[](Table46[Newtonsoft])</calculatedColumnFormula>
    </tableColumn>
    <tableColumn id="3" name="Revenj" dataDxfId="250"/>
    <tableColumn id="11" name="fastJSON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 Platform Java" dataDxfId="244"/>
    <tableColumn id="9" name="Genson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AverageNumbers[](Table51[Newtonsoft])</calculatedColumnFormula>
    </tableColumn>
    <tableColumn id="3" name="Revenj" dataDxfId="238"/>
    <tableColumn id="11" name="fastJSON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 Platform Java" dataDxfId="232"/>
    <tableColumn id="9" name="Genson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AverageNumbers[](Table51[Newtonsoft])</calculatedColumnFormula>
    </tableColumn>
    <tableColumn id="3" name="Revenj" dataDxfId="226"/>
    <tableColumn id="11" name="fastJSON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 Platform Java" dataDxfId="220"/>
    <tableColumn id="9" name="Genson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AverageNumbers[](Table56[Newtonsoft])</calculatedColumnFormula>
    </tableColumn>
    <tableColumn id="3" name="Revenj" dataDxfId="214"/>
    <tableColumn id="11" name="fastJSON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 Platform Java" dataDxfId="208"/>
    <tableColumn id="9" name="Genson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AverageNumbers[](Table56[Newtonsoft])</calculatedColumnFormula>
    </tableColumn>
    <tableColumn id="3" name="Revenj" dataDxfId="202"/>
    <tableColumn id="11" name="fastJSON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 Platform Java" dataDxfId="196"/>
    <tableColumn id="9" name="Genson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AverageNumbers[](Table61[Newtonsoft])</calculatedColumnFormula>
    </tableColumn>
    <tableColumn id="3" name="Revenj" dataDxfId="190"/>
    <tableColumn id="11" name="fastJSON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 Platform Java" dataDxfId="184"/>
    <tableColumn id="9" name="Genson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AverageNumbers[](Table61[Newtonsoft])</calculatedColumnFormula>
    </tableColumn>
    <tableColumn id="3" name="Revenj" dataDxfId="178"/>
    <tableColumn id="11" name="fastJSON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 Platform Java" dataDxfId="172"/>
    <tableColumn id="9" name="Genson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AverageNumbers[](Table66[Newtonsoft])</calculatedColumnFormula>
    </tableColumn>
    <tableColumn id="3" name="Revenj" dataDxfId="166"/>
    <tableColumn id="11" name="fastJSON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 Platform Java" dataDxfId="160"/>
    <tableColumn id="9" name="Genson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AverageNumbers[](Table66[Newtonsoft])</calculatedColumnFormula>
    </tableColumn>
    <tableColumn id="3" name="Revenj" dataDxfId="154"/>
    <tableColumn id="11" name="fastJSON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 Platform Java" dataDxfId="148"/>
    <tableColumn id="9" name="Genson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AverageNumbers[](Table71[Newtonsoft])</calculatedColumnFormula>
    </tableColumn>
    <tableColumn id="3" name="Revenj" dataDxfId="142"/>
    <tableColumn id="11" name="fastJSON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 Platform Java" dataDxfId="136"/>
    <tableColumn id="9" name="Genson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AverageNumbers[](Table71[Newtonsoft])</calculatedColumnFormula>
    </tableColumn>
    <tableColumn id="3" name="Revenj" dataDxfId="130"/>
    <tableColumn id="11" name="fastJSON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 Platform Java" dataDxfId="124"/>
    <tableColumn id="9" name="Genson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AverageNumbers[](Table76[Newtonsoft])</calculatedColumnFormula>
    </tableColumn>
    <tableColumn id="3" name="Revenj" dataDxfId="118"/>
    <tableColumn id="11" name="fastJSON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 Platform Java" dataDxfId="112"/>
    <tableColumn id="9" name="Genson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AverageNumbers[](Table76[Newtonsoft])</calculatedColumnFormula>
    </tableColumn>
    <tableColumn id="3" name="Revenj" dataDxfId="106"/>
    <tableColumn id="11" name="fastJSON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 Platform Java" dataDxfId="100"/>
    <tableColumn id="9" name="Genson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AverageNumbers[](Table16[Newtonsoft])</calculatedColumnFormula>
    </tableColumn>
    <tableColumn id="3" name="Revenj" dataDxfId="406"/>
    <tableColumn id="11" name="fastJSON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 Platform Java" dataDxfId="400"/>
    <tableColumn id="9" name="Genson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AverageNumbers[](Table81[Newtonsoft])</calculatedColumnFormula>
    </tableColumn>
    <tableColumn id="3" name="Revenj" dataDxfId="94"/>
    <tableColumn id="11" name="fastJSON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 Platform Java" dataDxfId="88"/>
    <tableColumn id="9" name="Genson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AverageNumbers[](Table81[Newtonsoft])</calculatedColumnFormula>
    </tableColumn>
    <tableColumn id="3" name="Revenj" dataDxfId="82"/>
    <tableColumn id="11" name="fastJSON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 Platform Java" dataDxfId="76"/>
    <tableColumn id="9" name="Genson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AverageNumbers[](Table86[Newtonsoft])</calculatedColumnFormula>
    </tableColumn>
    <tableColumn id="3" name="Revenj" dataDxfId="70"/>
    <tableColumn id="11" name="fastJSON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 Platform Java" dataDxfId="64"/>
    <tableColumn id="9" name="Genson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AverageNumbers[](Table86[Newtonsoft])</calculatedColumnFormula>
    </tableColumn>
    <tableColumn id="3" name="Revenj" dataDxfId="58"/>
    <tableColumn id="11" name="fastJSON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 Platform Java" dataDxfId="52"/>
    <tableColumn id="9" name="Genson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AverageNumbers[](Table16[Newtonsoft])</calculatedColumnFormula>
    </tableColumn>
    <tableColumn id="3" name="Revenj" dataDxfId="394"/>
    <tableColumn id="11" name="fastJSON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 Platform Java" dataDxfId="388"/>
    <tableColumn id="9" name="Genson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 (DSL model)" dataDxfId="47">
      <calculatedColumnFormula>AverageNumbers[](Table91[Newtonsoft])</calculatedColumnFormula>
    </tableColumn>
    <tableColumn id="3" name="Revenj" dataDxfId="46"/>
    <tableColumn id="11" name="fastJSON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 Platform Java" dataDxfId="40"/>
    <tableColumn id="9" name="Genson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AverageNumbers[](Table91[Newtonsoft])</calculatedColumnFormula>
    </tableColumn>
    <tableColumn id="3" name="Revenj" dataDxfId="34"/>
    <tableColumn id="11" name="fastJSON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 Platform Java" dataDxfId="28"/>
    <tableColumn id="9" name="Genson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 (DSL model)" dataDxfId="23">
      <calculatedColumnFormula>AverageNumbers[](Table96[Newtonsoft])</calculatedColumnFormula>
    </tableColumn>
    <tableColumn id="3" name="Revenj" dataDxfId="22"/>
    <tableColumn id="11" name="fastJSON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 Platform Java" dataDxfId="16"/>
    <tableColumn id="9" name="Genson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AverageNumbers[](Table96[Newtonsoft])</calculatedColumnFormula>
    </tableColumn>
    <tableColumn id="3" name="Revenj" dataDxfId="10"/>
    <tableColumn id="11" name="fastJSON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 Platform Java" dataDxfId="4"/>
    <tableColumn id="9" name="Genson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5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vmlDrawing" Target="../drawings/vmlDrawing5.vml"/><Relationship Id="rId7" Type="http://schemas.openxmlformats.org/officeDocument/2006/relationships/table" Target="../tables/table5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4" Type="http://schemas.openxmlformats.org/officeDocument/2006/relationships/table" Target="../tables/table56.xml"/><Relationship Id="rId9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6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Relationship Id="rId9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vmlDrawing" Target="../drawings/vmlDrawing7.vml"/><Relationship Id="rId7" Type="http://schemas.openxmlformats.org/officeDocument/2006/relationships/table" Target="../tables/table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Relationship Id="rId9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3" Type="http://schemas.openxmlformats.org/officeDocument/2006/relationships/vmlDrawing" Target="../drawings/vmlDrawing8.vml"/><Relationship Id="rId7" Type="http://schemas.openxmlformats.org/officeDocument/2006/relationships/table" Target="../tables/table7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3.xml"/><Relationship Id="rId5" Type="http://schemas.openxmlformats.org/officeDocument/2006/relationships/table" Target="../tables/table72.xml"/><Relationship Id="rId4" Type="http://schemas.openxmlformats.org/officeDocument/2006/relationships/table" Target="../tables/table71.xml"/><Relationship Id="rId9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3" Type="http://schemas.openxmlformats.org/officeDocument/2006/relationships/vmlDrawing" Target="../drawings/vmlDrawing9.vml"/><Relationship Id="rId7" Type="http://schemas.openxmlformats.org/officeDocument/2006/relationships/table" Target="../tables/table7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Relationship Id="rId9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5.xml"/><Relationship Id="rId3" Type="http://schemas.openxmlformats.org/officeDocument/2006/relationships/vmlDrawing" Target="../drawings/vmlDrawing10.vml"/><Relationship Id="rId7" Type="http://schemas.openxmlformats.org/officeDocument/2006/relationships/table" Target="../tables/table8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3.xml"/><Relationship Id="rId5" Type="http://schemas.openxmlformats.org/officeDocument/2006/relationships/table" Target="../tables/table82.xml"/><Relationship Id="rId4" Type="http://schemas.openxmlformats.org/officeDocument/2006/relationships/table" Target="../tables/table81.xml"/><Relationship Id="rId9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0.xml"/><Relationship Id="rId3" Type="http://schemas.openxmlformats.org/officeDocument/2006/relationships/vmlDrawing" Target="../drawings/vmlDrawing11.vml"/><Relationship Id="rId7" Type="http://schemas.openxmlformats.org/officeDocument/2006/relationships/table" Target="../tables/table8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8.xml"/><Relationship Id="rId5" Type="http://schemas.openxmlformats.org/officeDocument/2006/relationships/table" Target="../tables/table87.xml"/><Relationship Id="rId4" Type="http://schemas.openxmlformats.org/officeDocument/2006/relationships/table" Target="../tables/table86.xml"/><Relationship Id="rId9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72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35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AVERAGE(Instance[Newtonsoft])</f>
        <v>19.2</v>
      </c>
      <c r="D38" s="2">
        <f>AVERAGE(Instance[Revenj])</f>
        <v>19</v>
      </c>
      <c r="E38" s="2">
        <f>AVERAGE(Instance[fastJSON])</f>
        <v>19.399999999999999</v>
      </c>
      <c r="F38" s="2">
        <f>AVERAGE(Instance[Service Stack])</f>
        <v>24</v>
      </c>
      <c r="G38" s="2">
        <f>AVERAGE(Instance[Jil])</f>
        <v>24</v>
      </c>
      <c r="H38" s="2">
        <f>AVERAGE(Instance[NetJSON])</f>
        <v>24</v>
      </c>
      <c r="I38" s="2">
        <f>AVERAGE(Instance[Jackson])</f>
        <v>1</v>
      </c>
      <c r="J38" s="2">
        <f>AVERAGE(Instance[DSL Platform Java])</f>
        <v>1</v>
      </c>
      <c r="K38" s="2">
        <f>AVERAGE(Instance[Genson])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>
      <c r="B39" t="s">
        <v>0</v>
      </c>
      <c r="C39" s="2">
        <f>AVERAGE(Serialization[Newtonsoft]) - C38</f>
        <v>102.6</v>
      </c>
      <c r="D39" s="2">
        <f>AVERAGE(Serialization[Revenj]) - D38</f>
        <v>4</v>
      </c>
      <c r="E39" s="2">
        <f>AVERAGE(Serialization[fastJSON]) - E38</f>
        <v>17.600000000000001</v>
      </c>
      <c r="F39" s="2">
        <f>AVERAGE(Serialization[Service Stack]) - F38</f>
        <v>81.400000000000006</v>
      </c>
      <c r="G39" s="2">
        <f>AVERAGE(Serialization[Jil]) - G38</f>
        <v>230.8</v>
      </c>
      <c r="H39" s="2">
        <f>AVERAGE(Serialization[NetJSON]) - H38</f>
        <v>36</v>
      </c>
      <c r="I39" s="2">
        <f>AVERAGE(Serialization[Jackson]) - I38</f>
        <v>66</v>
      </c>
      <c r="J39" s="2">
        <f>AVERAGE(Serialization[DSL Platform Java]) - J38</f>
        <v>0</v>
      </c>
      <c r="K39" s="2">
        <f>AVERAGE(Serialization[Genson]) - K38</f>
        <v>45</v>
      </c>
      <c r="L39" s="2">
        <f>AVERAGE(Serialization[Boon]) - L38</f>
        <v>62</v>
      </c>
      <c r="M39" s="2">
        <f>AVERAGE(Serialization[Alibaba]) - M38</f>
        <v>108</v>
      </c>
      <c r="N39" s="2">
        <f>AVERAGE(Serialization[Gson]) - N38</f>
        <v>22.2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37.000000000000014</v>
      </c>
      <c r="D40" s="2">
        <f t="shared" si="0"/>
        <v>12.399999999999999</v>
      </c>
      <c r="E40" s="2">
        <f t="shared" ref="E40" si="1">E41 - E39 - E38</f>
        <v>12.200000000000003</v>
      </c>
      <c r="F40" s="2">
        <f t="shared" si="0"/>
        <v>13.199999999999989</v>
      </c>
      <c r="G40" s="2">
        <f t="shared" si="0"/>
        <v>90.599999999999966</v>
      </c>
      <c r="H40" s="2">
        <f t="shared" si="0"/>
        <v>2</v>
      </c>
      <c r="I40" s="2">
        <f t="shared" ref="I40" si="2">I41 - I39 - I38</f>
        <v>35</v>
      </c>
      <c r="J40" s="2">
        <f t="shared" ref="J40" si="3">J41 - J39 - J38</f>
        <v>1</v>
      </c>
      <c r="K40" s="2">
        <f t="shared" ref="K40:L40" si="4">K41 - K39 - K38</f>
        <v>4</v>
      </c>
      <c r="L40" s="2">
        <f t="shared" si="4"/>
        <v>29</v>
      </c>
      <c r="M40" s="2">
        <f t="shared" ref="M40" si="5">M41 - M39 - M38</f>
        <v>19.599999999999994</v>
      </c>
      <c r="N40" s="2">
        <f t="shared" ref="N40" si="6">N41 - N39 - N38</f>
        <v>2.8000000000000007</v>
      </c>
      <c r="O40" s="2"/>
      <c r="P40" s="2"/>
      <c r="Q40" s="2"/>
    </row>
    <row r="41" spans="2:17">
      <c r="B41" t="s">
        <v>25</v>
      </c>
      <c r="C41" s="2">
        <f>AVERAGE(Both[Newtonsoft])</f>
        <v>158.80000000000001</v>
      </c>
      <c r="D41" s="2">
        <f>AVERAGE(Both[Revenj])</f>
        <v>35.4</v>
      </c>
      <c r="E41" s="2">
        <f>AVERAGE(Both[fastJSON])</f>
        <v>49.2</v>
      </c>
      <c r="F41" s="2">
        <f>AVERAGE(Both[Service Stack])</f>
        <v>118.6</v>
      </c>
      <c r="G41" s="2">
        <f>AVERAGE(Both[Jil])</f>
        <v>345.4</v>
      </c>
      <c r="H41" s="2">
        <f>AVERAGE(Both[NetJSON])</f>
        <v>62</v>
      </c>
      <c r="I41" s="2">
        <f>AVERAGE(Both[Jackson])</f>
        <v>102</v>
      </c>
      <c r="J41" s="2">
        <f>AVERAGE(Both[DSL Platform Java])</f>
        <v>2</v>
      </c>
      <c r="K41" s="2">
        <f>AVERAGE(Both[Genson])</f>
        <v>50</v>
      </c>
      <c r="L41" s="2">
        <f>AVERAGE(Both[Boon])</f>
        <v>92</v>
      </c>
      <c r="M41" s="2">
        <f>AVERAGE(Both[Alibaba])</f>
        <v>128.6</v>
      </c>
      <c r="N41" s="2">
        <f>AVERAGE(Both[Gson])</f>
        <v>26</v>
      </c>
      <c r="O41" s="2"/>
      <c r="P41" s="2"/>
      <c r="Q41" s="2"/>
    </row>
    <row r="42" spans="2:17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AVERAGE(Serialization[fastJSON (size)])</f>
        <v>40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28</v>
      </c>
      <c r="J42" s="2">
        <f>AVERAGE(Serialization[DSL Platform Java (size)])</f>
        <v>28</v>
      </c>
      <c r="K42" s="2">
        <f>AVERAGE(Serialization[Genson (size)])</f>
        <v>40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DEVSQ(Serialization[Newtonsoft])</f>
        <v>288.8</v>
      </c>
      <c r="D47" s="2">
        <f>DEVSQ(Serialization[Revenj])</f>
        <v>0</v>
      </c>
      <c r="E47" s="2">
        <f>DEVSQ(Serialization[fastJSON])</f>
        <v>0</v>
      </c>
      <c r="F47" s="2">
        <f>DEVSQ(Serialization[Service Stack])</f>
        <v>6771.2000000000007</v>
      </c>
      <c r="G47" s="2">
        <f>DEVSQ(Serialization[Jil])</f>
        <v>0.80000000000000016</v>
      </c>
      <c r="H47" s="2">
        <f>DEVSQ(Serialization[NetJSON])</f>
        <v>0</v>
      </c>
      <c r="I47" s="2">
        <f>DEVSQ(Serialization[Jackson])</f>
        <v>0</v>
      </c>
      <c r="J47" s="2">
        <f>DEVSQ(Serialization[DSL Platform Java])</f>
        <v>0</v>
      </c>
      <c r="K47" s="2">
        <f>DEVSQ(Serialization[Genson])</f>
        <v>0</v>
      </c>
      <c r="L47" s="2">
        <f>DEVSQ(Serialization[Boon])</f>
        <v>8</v>
      </c>
      <c r="M47" s="2">
        <f>DEVSQ(Serialization[Alibaba])</f>
        <v>2</v>
      </c>
      <c r="N47" s="2">
        <f>DEVSQ(Serialization[Gson])</f>
        <v>0.79999999999999993</v>
      </c>
      <c r="O47" s="2"/>
      <c r="P47" s="2"/>
      <c r="Q47" s="2"/>
    </row>
    <row r="48" spans="2:17">
      <c r="B48" t="s">
        <v>25</v>
      </c>
      <c r="C48" s="2">
        <f>DEVSQ(Both[Newtonsoft])</f>
        <v>0.8</v>
      </c>
      <c r="D48" s="2">
        <f>DEVSQ(Both[Revenj])</f>
        <v>1.2</v>
      </c>
      <c r="E48" s="2">
        <f>DEVSQ(Both[fastJSON])</f>
        <v>0.8</v>
      </c>
      <c r="F48" s="2">
        <f>DEVSQ(Both[Service Stack])</f>
        <v>163.19999999999996</v>
      </c>
      <c r="G48" s="2">
        <f>DEVSQ(Both[Jil])</f>
        <v>9.2000000000000011</v>
      </c>
      <c r="H48" s="2">
        <f>DEVSQ(Both[NetJSON])</f>
        <v>0</v>
      </c>
      <c r="I48" s="2">
        <f>DEVSQ(Both[Jackson])</f>
        <v>0</v>
      </c>
      <c r="J48" s="2">
        <f>DEVSQ(Both[DSL Platform Java])</f>
        <v>0</v>
      </c>
      <c r="K48" s="2">
        <f>DEVSQ(Both[Genson])</f>
        <v>0</v>
      </c>
      <c r="L48" s="2">
        <f>DEVSQ(Both[Boon])</f>
        <v>0</v>
      </c>
      <c r="M48" s="2">
        <f>DEVSQ(Both[Alibaba])</f>
        <v>1.2</v>
      </c>
      <c r="N48" s="2">
        <f>DEVSQ(Both[Gson])</f>
        <v>0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19</v>
      </c>
      <c r="C52">
        <v>19</v>
      </c>
      <c r="D52">
        <v>19</v>
      </c>
      <c r="E52">
        <v>24</v>
      </c>
      <c r="F52">
        <v>24</v>
      </c>
      <c r="G52">
        <v>24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>
      <c r="B53">
        <v>20</v>
      </c>
      <c r="C53">
        <v>19</v>
      </c>
      <c r="D53">
        <v>20</v>
      </c>
      <c r="E53">
        <v>24</v>
      </c>
      <c r="F53">
        <v>24</v>
      </c>
      <c r="G53">
        <v>24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>
      <c r="B54">
        <v>19</v>
      </c>
      <c r="C54">
        <v>19</v>
      </c>
      <c r="D54">
        <v>19</v>
      </c>
      <c r="E54">
        <v>24</v>
      </c>
      <c r="F54">
        <v>24</v>
      </c>
      <c r="G54">
        <v>24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2:25">
      <c r="B55">
        <v>19</v>
      </c>
      <c r="C55">
        <v>19</v>
      </c>
      <c r="D55">
        <v>19</v>
      </c>
      <c r="E55">
        <v>24</v>
      </c>
      <c r="F55">
        <v>24</v>
      </c>
      <c r="G55">
        <v>24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2:25">
      <c r="B56">
        <v>19</v>
      </c>
      <c r="C56">
        <v>19</v>
      </c>
      <c r="D56">
        <v>20</v>
      </c>
      <c r="E56">
        <v>24</v>
      </c>
      <c r="F56">
        <v>24</v>
      </c>
      <c r="G56">
        <v>24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137</v>
      </c>
      <c r="C60">
        <v>23</v>
      </c>
      <c r="D60">
        <v>37</v>
      </c>
      <c r="E60">
        <v>179</v>
      </c>
      <c r="F60">
        <v>255</v>
      </c>
      <c r="G60">
        <v>60</v>
      </c>
      <c r="H60">
        <v>67</v>
      </c>
      <c r="I60">
        <v>1</v>
      </c>
      <c r="J60">
        <v>46</v>
      </c>
      <c r="K60">
        <v>65</v>
      </c>
      <c r="L60">
        <v>110</v>
      </c>
      <c r="M60">
        <v>24</v>
      </c>
      <c r="N60">
        <v>40</v>
      </c>
      <c r="O60">
        <v>28</v>
      </c>
      <c r="P60">
        <v>40</v>
      </c>
      <c r="Q60">
        <v>40</v>
      </c>
      <c r="R60">
        <v>40</v>
      </c>
      <c r="S60">
        <v>28</v>
      </c>
      <c r="T60">
        <v>28</v>
      </c>
      <c r="U60">
        <v>28</v>
      </c>
      <c r="V60">
        <v>40</v>
      </c>
      <c r="W60">
        <v>28</v>
      </c>
      <c r="X60">
        <v>40</v>
      </c>
      <c r="Y60">
        <v>40</v>
      </c>
    </row>
    <row r="61" spans="2:25">
      <c r="B61">
        <v>118</v>
      </c>
      <c r="C61">
        <v>23</v>
      </c>
      <c r="D61">
        <v>37</v>
      </c>
      <c r="E61">
        <v>87</v>
      </c>
      <c r="F61">
        <v>254</v>
      </c>
      <c r="G61">
        <v>60</v>
      </c>
      <c r="H61">
        <v>67</v>
      </c>
      <c r="I61">
        <v>1</v>
      </c>
      <c r="J61">
        <v>46</v>
      </c>
      <c r="K61">
        <v>62</v>
      </c>
      <c r="L61">
        <v>108</v>
      </c>
      <c r="M61">
        <v>23</v>
      </c>
      <c r="N61">
        <v>40</v>
      </c>
      <c r="O61">
        <v>28</v>
      </c>
      <c r="P61">
        <v>40</v>
      </c>
      <c r="Q61">
        <v>40</v>
      </c>
      <c r="R61">
        <v>40</v>
      </c>
      <c r="S61">
        <v>28</v>
      </c>
      <c r="T61">
        <v>28</v>
      </c>
      <c r="U61">
        <v>28</v>
      </c>
      <c r="V61">
        <v>40</v>
      </c>
      <c r="W61">
        <v>28</v>
      </c>
      <c r="X61">
        <v>40</v>
      </c>
      <c r="Y61">
        <v>40</v>
      </c>
    </row>
    <row r="62" spans="2:25">
      <c r="B62">
        <v>118</v>
      </c>
      <c r="C62">
        <v>23</v>
      </c>
      <c r="D62">
        <v>37</v>
      </c>
      <c r="E62">
        <v>87</v>
      </c>
      <c r="F62">
        <v>255</v>
      </c>
      <c r="G62">
        <v>60</v>
      </c>
      <c r="H62">
        <v>67</v>
      </c>
      <c r="I62">
        <v>1</v>
      </c>
      <c r="J62">
        <v>46</v>
      </c>
      <c r="K62">
        <v>64</v>
      </c>
      <c r="L62">
        <v>109</v>
      </c>
      <c r="M62">
        <v>23</v>
      </c>
      <c r="N62">
        <v>40</v>
      </c>
      <c r="O62">
        <v>28</v>
      </c>
      <c r="P62">
        <v>40</v>
      </c>
      <c r="Q62">
        <v>40</v>
      </c>
      <c r="R62">
        <v>40</v>
      </c>
      <c r="S62">
        <v>28</v>
      </c>
      <c r="T62">
        <v>28</v>
      </c>
      <c r="U62">
        <v>28</v>
      </c>
      <c r="V62">
        <v>40</v>
      </c>
      <c r="W62">
        <v>28</v>
      </c>
      <c r="X62">
        <v>40</v>
      </c>
      <c r="Y62">
        <v>40</v>
      </c>
    </row>
    <row r="63" spans="2:25">
      <c r="B63">
        <v>118</v>
      </c>
      <c r="C63">
        <v>23</v>
      </c>
      <c r="D63">
        <v>37</v>
      </c>
      <c r="E63">
        <v>87</v>
      </c>
      <c r="F63">
        <v>255</v>
      </c>
      <c r="G63">
        <v>60</v>
      </c>
      <c r="H63">
        <v>67</v>
      </c>
      <c r="I63">
        <v>1</v>
      </c>
      <c r="J63">
        <v>46</v>
      </c>
      <c r="K63">
        <v>62</v>
      </c>
      <c r="L63">
        <v>109</v>
      </c>
      <c r="M63">
        <v>23</v>
      </c>
      <c r="N63">
        <v>40</v>
      </c>
      <c r="O63">
        <v>28</v>
      </c>
      <c r="P63">
        <v>40</v>
      </c>
      <c r="Q63">
        <v>40</v>
      </c>
      <c r="R63">
        <v>40</v>
      </c>
      <c r="S63">
        <v>28</v>
      </c>
      <c r="T63">
        <v>28</v>
      </c>
      <c r="U63">
        <v>28</v>
      </c>
      <c r="V63">
        <v>40</v>
      </c>
      <c r="W63">
        <v>28</v>
      </c>
      <c r="X63">
        <v>40</v>
      </c>
      <c r="Y63">
        <v>40</v>
      </c>
    </row>
    <row r="64" spans="2:25">
      <c r="B64">
        <v>118</v>
      </c>
      <c r="C64">
        <v>23</v>
      </c>
      <c r="D64">
        <v>37</v>
      </c>
      <c r="E64">
        <v>87</v>
      </c>
      <c r="F64">
        <v>255</v>
      </c>
      <c r="G64">
        <v>60</v>
      </c>
      <c r="H64">
        <v>67</v>
      </c>
      <c r="I64">
        <v>1</v>
      </c>
      <c r="J64">
        <v>46</v>
      </c>
      <c r="K64">
        <v>62</v>
      </c>
      <c r="L64">
        <v>109</v>
      </c>
      <c r="M64">
        <v>23</v>
      </c>
      <c r="N64">
        <v>40</v>
      </c>
      <c r="O64">
        <v>28</v>
      </c>
      <c r="P64">
        <v>40</v>
      </c>
      <c r="Q64">
        <v>40</v>
      </c>
      <c r="R64">
        <v>40</v>
      </c>
      <c r="S64">
        <v>28</v>
      </c>
      <c r="T64">
        <v>28</v>
      </c>
      <c r="U64">
        <v>28</v>
      </c>
      <c r="V64">
        <v>40</v>
      </c>
      <c r="W64">
        <v>28</v>
      </c>
      <c r="X64">
        <v>40</v>
      </c>
      <c r="Y64">
        <v>40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159</v>
      </c>
      <c r="C68">
        <v>35</v>
      </c>
      <c r="D68">
        <v>49</v>
      </c>
      <c r="E68">
        <v>130</v>
      </c>
      <c r="F68">
        <v>346</v>
      </c>
      <c r="G68">
        <v>62</v>
      </c>
      <c r="H68">
        <v>102</v>
      </c>
      <c r="I68">
        <v>2</v>
      </c>
      <c r="J68">
        <v>50</v>
      </c>
      <c r="K68">
        <v>92</v>
      </c>
      <c r="L68">
        <v>129</v>
      </c>
      <c r="M68">
        <v>26</v>
      </c>
    </row>
    <row r="69" spans="2:13">
      <c r="B69">
        <v>159</v>
      </c>
      <c r="C69">
        <v>36</v>
      </c>
      <c r="D69">
        <v>49</v>
      </c>
      <c r="E69">
        <v>116</v>
      </c>
      <c r="F69">
        <v>345</v>
      </c>
      <c r="G69">
        <v>62</v>
      </c>
      <c r="H69">
        <v>102</v>
      </c>
      <c r="I69">
        <v>2</v>
      </c>
      <c r="J69">
        <v>50</v>
      </c>
      <c r="K69">
        <v>92</v>
      </c>
      <c r="L69">
        <v>129</v>
      </c>
      <c r="M69">
        <v>26</v>
      </c>
    </row>
    <row r="70" spans="2:13">
      <c r="B70">
        <v>159</v>
      </c>
      <c r="C70">
        <v>36</v>
      </c>
      <c r="D70">
        <v>49</v>
      </c>
      <c r="E70">
        <v>116</v>
      </c>
      <c r="F70">
        <v>343</v>
      </c>
      <c r="G70">
        <v>62</v>
      </c>
      <c r="H70">
        <v>102</v>
      </c>
      <c r="I70">
        <v>2</v>
      </c>
      <c r="J70">
        <v>50</v>
      </c>
      <c r="K70">
        <v>92</v>
      </c>
      <c r="L70">
        <v>129</v>
      </c>
      <c r="M70">
        <v>26</v>
      </c>
    </row>
    <row r="71" spans="2:13">
      <c r="B71">
        <v>158</v>
      </c>
      <c r="C71">
        <v>35</v>
      </c>
      <c r="D71">
        <v>49</v>
      </c>
      <c r="E71">
        <v>115</v>
      </c>
      <c r="F71">
        <v>347</v>
      </c>
      <c r="G71">
        <v>62</v>
      </c>
      <c r="H71">
        <v>102</v>
      </c>
      <c r="I71">
        <v>2</v>
      </c>
      <c r="J71">
        <v>50</v>
      </c>
      <c r="K71">
        <v>92</v>
      </c>
      <c r="L71">
        <v>128</v>
      </c>
      <c r="M71">
        <v>26</v>
      </c>
    </row>
    <row r="72" spans="2:13">
      <c r="B72">
        <v>159</v>
      </c>
      <c r="C72">
        <v>35</v>
      </c>
      <c r="D72">
        <v>50</v>
      </c>
      <c r="E72">
        <v>116</v>
      </c>
      <c r="F72">
        <v>346</v>
      </c>
      <c r="G72">
        <v>62</v>
      </c>
      <c r="H72">
        <v>102</v>
      </c>
      <c r="I72">
        <v>2</v>
      </c>
      <c r="J72">
        <v>50</v>
      </c>
      <c r="K72">
        <v>92</v>
      </c>
      <c r="L72">
        <v>128</v>
      </c>
      <c r="M72">
        <v>26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44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AVERAGE(Table57[Newtonsoft])</f>
        <v>9699.7999999999993</v>
      </c>
      <c r="D38" s="2">
        <f>AVERAGE(Table57[Revenj])</f>
        <v>9444.7999999999993</v>
      </c>
      <c r="E38" s="2">
        <f>AVERAGE(Table57[fastJSON])</f>
        <v>9826.4</v>
      </c>
      <c r="F38" s="2">
        <f>AVERAGE(Table57[Service Stack])</f>
        <v>9372.4</v>
      </c>
      <c r="G38" s="2">
        <f>AVERAGE(Table57[Jil])</f>
        <v>9490.6</v>
      </c>
      <c r="H38" s="2">
        <f>AVERAGE(Table57[NetJSON])</f>
        <v>9686.6</v>
      </c>
      <c r="I38" s="2">
        <f>AVERAGE(Table57[Jackson])</f>
        <v>5284.6</v>
      </c>
      <c r="J38" s="2">
        <f>AVERAGE(Table57[DSL Platform Java])</f>
        <v>5250</v>
      </c>
      <c r="K38" s="2">
        <f>AVERAGE(Table57[Genson])</f>
        <v>5294.6</v>
      </c>
      <c r="L38" s="2">
        <f>AVERAGE(Table57[Boon])</f>
        <v>5315.4</v>
      </c>
      <c r="M38" s="2">
        <f>AVERAGE(Table57[Alibaba])</f>
        <v>5335.4</v>
      </c>
      <c r="N38" s="2">
        <f>AVERAGE(Table57[Gson])</f>
        <v>5308.6</v>
      </c>
      <c r="O38" s="2"/>
      <c r="P38" s="2"/>
      <c r="Q38" s="2"/>
    </row>
    <row r="39" spans="2:17">
      <c r="B39" t="s">
        <v>0</v>
      </c>
      <c r="C39" s="2">
        <f>AVERAGE(Table56[Newtonsoft]) - C38</f>
        <v>31440.399999999998</v>
      </c>
      <c r="D39" s="2">
        <f>AVERAGE(Table56[Revenj]) - D38</f>
        <v>10712.600000000002</v>
      </c>
      <c r="E39" s="2">
        <f>AVERAGE(Table56[fastJSON]) - E38</f>
        <v>38163.4</v>
      </c>
      <c r="F39" s="2">
        <f>AVERAGE(Table56[Service Stack]) - F38</f>
        <v>42051.199999999997</v>
      </c>
      <c r="G39" s="2">
        <f>AVERAGE(Table56[Jil]) - G38</f>
        <v>21999.4</v>
      </c>
      <c r="H39" s="2">
        <f>AVERAGE(Table56[NetJSON]) - H38</f>
        <v>17364.800000000003</v>
      </c>
      <c r="I39" s="2">
        <f>AVERAGE(Table56[Jackson]) - I38</f>
        <v>13007.4</v>
      </c>
      <c r="J39" s="2">
        <f>AVERAGE(Table56[DSL Platform Java]) - J38</f>
        <v>2769.6000000000004</v>
      </c>
      <c r="K39" s="2">
        <f>AVERAGE(Table56[Genson]) - K38</f>
        <v>47228.4</v>
      </c>
      <c r="L39" s="2">
        <f>AVERAGE(Table56[Boon]) - L38</f>
        <v>19103.599999999999</v>
      </c>
      <c r="M39" s="4" t="s">
        <v>53</v>
      </c>
      <c r="N39" s="2">
        <f>AVERAGE(Table56[Gson]) - N38</f>
        <v>28998.400000000001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67408</v>
      </c>
      <c r="D40" s="2">
        <f t="shared" si="0"/>
        <v>20522</v>
      </c>
      <c r="E40" s="2">
        <f t="shared" ref="E40" si="1">E41 - E39 - E38</f>
        <v>70475</v>
      </c>
      <c r="F40" s="2">
        <f t="shared" si="0"/>
        <v>64816.4</v>
      </c>
      <c r="G40" s="2">
        <f t="shared" si="0"/>
        <v>27129.599999999999</v>
      </c>
      <c r="H40" s="2">
        <f t="shared" si="0"/>
        <v>32014.6</v>
      </c>
      <c r="I40" s="2">
        <f t="shared" ref="I40" si="2">I41 - I39 - I38</f>
        <v>25754.400000000001</v>
      </c>
      <c r="J40" s="2">
        <f t="shared" ref="J40" si="3">J41 - J39 - J38</f>
        <v>4873.6000000000004</v>
      </c>
      <c r="K40" s="2">
        <f t="shared" ref="K40:L40" si="4">K41 - K39 - K38</f>
        <v>44872.2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55605.2</v>
      </c>
      <c r="O40" s="2"/>
      <c r="P40" s="2"/>
      <c r="Q40" s="2"/>
    </row>
    <row r="41" spans="2:17">
      <c r="B41" t="s">
        <v>25</v>
      </c>
      <c r="C41" s="2">
        <f>AVERAGE(Table58[Newtonsoft])</f>
        <v>108548.2</v>
      </c>
      <c r="D41" s="2">
        <f>AVERAGE(Table58[Revenj])</f>
        <v>40679.4</v>
      </c>
      <c r="E41" s="2">
        <f>AVERAGE(Table58[fastJSON])</f>
        <v>118464.8</v>
      </c>
      <c r="F41" s="2">
        <f>AVERAGE(Table58[Service Stack])</f>
        <v>116240</v>
      </c>
      <c r="G41" s="2">
        <f>AVERAGE(Table58[Jil])</f>
        <v>58619.6</v>
      </c>
      <c r="H41" s="2">
        <f>AVERAGE(Table58[NetJSON])</f>
        <v>59066</v>
      </c>
      <c r="I41" s="2">
        <f>AVERAGE(Table58[Jackson])</f>
        <v>44046.400000000001</v>
      </c>
      <c r="J41" s="2">
        <f>AVERAGE(Table58[DSL Platform Java])</f>
        <v>12893.2</v>
      </c>
      <c r="K41" s="2">
        <f>AVERAGE(Table58[Genson])</f>
        <v>97395.199999999997</v>
      </c>
      <c r="L41" s="2" t="e">
        <f>AVERAGE(Table58[Boon])</f>
        <v>#DIV/0!</v>
      </c>
      <c r="M41" s="4" t="s">
        <v>53</v>
      </c>
      <c r="N41" s="2">
        <f>AVERAGE(Table58[Gson])</f>
        <v>89912.2</v>
      </c>
      <c r="O41" s="2"/>
      <c r="P41" s="2"/>
      <c r="Q41" s="2"/>
    </row>
    <row r="42" spans="2:17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AVERAGE(Table56[fastJSON (size)])</f>
        <v>1093888890</v>
      </c>
      <c r="F42" s="3">
        <f>AVERAGE(Table56[Service Stack (size)])</f>
        <v>1203888890</v>
      </c>
      <c r="G42" s="2">
        <f>AVERAGE(Table56[Jil (size)])</f>
        <v>1243888890</v>
      </c>
      <c r="H42" s="2">
        <f>AVERAGE(Table56[NetJSON (size)])</f>
        <v>1138888890</v>
      </c>
      <c r="I42" s="2">
        <f>AVERAGE(Table56[Jackson (size)])</f>
        <v>1038888890</v>
      </c>
      <c r="J42" s="2">
        <f>AVERAGE(Table56[DSL Platform Java (size)])</f>
        <v>1038888890</v>
      </c>
      <c r="K42" s="2">
        <f>AVERAGE(Table56[Genson (size)])</f>
        <v>1113888890</v>
      </c>
      <c r="L42" s="2">
        <f>AVERAGE(Table56[Boon (size)])</f>
        <v>918888890</v>
      </c>
      <c r="M42" s="4" t="s">
        <v>53</v>
      </c>
      <c r="N42" s="2">
        <f>AVERAGE(Table56[Gson (size)])</f>
        <v>1113888890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DEVSQ(Table56[Newtonsoft])</f>
        <v>45906.8</v>
      </c>
      <c r="D47" s="2">
        <f>DEVSQ(Table56[Revenj])</f>
        <v>18289.199999999997</v>
      </c>
      <c r="E47" s="2">
        <f>DEVSQ(Table56[fastJSON])</f>
        <v>458268.8</v>
      </c>
      <c r="F47" s="2">
        <f>DEVSQ(Table56[Service Stack])</f>
        <v>456427.19999999995</v>
      </c>
      <c r="G47" s="2">
        <f>DEVSQ(Table56[Jil])</f>
        <v>150134</v>
      </c>
      <c r="H47" s="2">
        <f>DEVSQ(Table56[NetJSON])</f>
        <v>14869.2</v>
      </c>
      <c r="I47" s="2">
        <f>DEVSQ(Table56[Jackson])</f>
        <v>1596906</v>
      </c>
      <c r="J47" s="2">
        <f>DEVSQ(Table56[DSL Platform Java])</f>
        <v>119759.2</v>
      </c>
      <c r="K47" s="2">
        <f>DEVSQ(Table56[Genson])</f>
        <v>10663830</v>
      </c>
      <c r="L47" s="2">
        <f>DEVSQ(Table56[Boon])</f>
        <v>3599042</v>
      </c>
      <c r="M47" s="2">
        <f>DEVSQ(Table56[Alibaba])</f>
        <v>49363646</v>
      </c>
      <c r="N47" s="2">
        <f>DEVSQ(Table56[Gson])</f>
        <v>2843998</v>
      </c>
      <c r="O47" s="2"/>
      <c r="P47" s="2"/>
      <c r="Q47" s="2"/>
    </row>
    <row r="48" spans="2:17">
      <c r="B48" t="s">
        <v>25</v>
      </c>
      <c r="C48" s="2">
        <f>DEVSQ(Table58[Newtonsoft])</f>
        <v>162514.79999999999</v>
      </c>
      <c r="D48" s="2">
        <f>DEVSQ(Table58[Revenj])</f>
        <v>176689.2</v>
      </c>
      <c r="E48" s="2">
        <f>DEVSQ(Table58[fastJSON])</f>
        <v>272120.8</v>
      </c>
      <c r="F48" s="2">
        <f>DEVSQ(Table58[Service Stack])</f>
        <v>1232592</v>
      </c>
      <c r="G48" s="2">
        <f>DEVSQ(Table58[Jil])</f>
        <v>419453.19999999995</v>
      </c>
      <c r="H48" s="2">
        <f>DEVSQ(Table58[NetJSON])</f>
        <v>131254</v>
      </c>
      <c r="I48" s="2">
        <f>DEVSQ(Table58[Jackson])</f>
        <v>6736745.1999999993</v>
      </c>
      <c r="J48" s="2">
        <f>DEVSQ(Table58[DSL Platform Java])</f>
        <v>1823046.8</v>
      </c>
      <c r="K48" s="2">
        <f>DEVSQ(Table58[Genson])</f>
        <v>17532334.800000001</v>
      </c>
      <c r="L48" s="2" t="e">
        <f>DEVSQ(Table58[Boon])</f>
        <v>#NUM!</v>
      </c>
      <c r="M48" s="2">
        <f>DEVSQ(Table58[Alibaba])</f>
        <v>52511265.200000003</v>
      </c>
      <c r="N48" s="2">
        <f>DEVSQ(Table58[Gson])</f>
        <v>19867262.800000001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9695</v>
      </c>
      <c r="C52">
        <v>9404</v>
      </c>
      <c r="D52">
        <v>9802</v>
      </c>
      <c r="E52">
        <v>9396</v>
      </c>
      <c r="F52">
        <v>9570</v>
      </c>
      <c r="G52">
        <v>9834</v>
      </c>
      <c r="H52">
        <v>5322</v>
      </c>
      <c r="I52">
        <v>5312</v>
      </c>
      <c r="J52">
        <v>5268</v>
      </c>
      <c r="K52">
        <v>5290</v>
      </c>
      <c r="L52">
        <v>5316</v>
      </c>
      <c r="M52">
        <v>5391</v>
      </c>
    </row>
    <row r="53" spans="2:25">
      <c r="B53">
        <v>9619</v>
      </c>
      <c r="C53">
        <v>9453</v>
      </c>
      <c r="D53">
        <v>9956</v>
      </c>
      <c r="E53">
        <v>9353</v>
      </c>
      <c r="F53">
        <v>9593</v>
      </c>
      <c r="G53">
        <v>9696</v>
      </c>
      <c r="H53">
        <v>5257</v>
      </c>
      <c r="I53">
        <v>5228</v>
      </c>
      <c r="J53">
        <v>5319</v>
      </c>
      <c r="K53">
        <v>5324</v>
      </c>
      <c r="L53">
        <v>5316</v>
      </c>
      <c r="M53">
        <v>5282</v>
      </c>
    </row>
    <row r="54" spans="2:25">
      <c r="B54">
        <v>9758</v>
      </c>
      <c r="C54">
        <v>9444</v>
      </c>
      <c r="D54">
        <v>9818</v>
      </c>
      <c r="E54">
        <v>9361</v>
      </c>
      <c r="F54">
        <v>9518</v>
      </c>
      <c r="G54">
        <v>9662</v>
      </c>
      <c r="H54">
        <v>5310</v>
      </c>
      <c r="I54">
        <v>5235</v>
      </c>
      <c r="J54">
        <v>5309</v>
      </c>
      <c r="K54">
        <v>5361</v>
      </c>
      <c r="L54">
        <v>5360</v>
      </c>
      <c r="M54">
        <v>5291</v>
      </c>
    </row>
    <row r="55" spans="2:25">
      <c r="B55">
        <v>9626</v>
      </c>
      <c r="C55">
        <v>9443</v>
      </c>
      <c r="D55">
        <v>9752</v>
      </c>
      <c r="E55">
        <v>9362</v>
      </c>
      <c r="F55">
        <v>9450</v>
      </c>
      <c r="G55">
        <v>9567</v>
      </c>
      <c r="H55">
        <v>5269</v>
      </c>
      <c r="I55">
        <v>5233</v>
      </c>
      <c r="J55">
        <v>5276</v>
      </c>
      <c r="K55">
        <v>5279</v>
      </c>
      <c r="L55">
        <v>5327</v>
      </c>
      <c r="M55">
        <v>5288</v>
      </c>
    </row>
    <row r="56" spans="2:25">
      <c r="B56">
        <v>9801</v>
      </c>
      <c r="C56">
        <v>9480</v>
      </c>
      <c r="D56">
        <v>9804</v>
      </c>
      <c r="E56">
        <v>9390</v>
      </c>
      <c r="F56">
        <v>9322</v>
      </c>
      <c r="G56">
        <v>9674</v>
      </c>
      <c r="H56">
        <v>5265</v>
      </c>
      <c r="I56">
        <v>5242</v>
      </c>
      <c r="J56">
        <v>5301</v>
      </c>
      <c r="K56">
        <v>5323</v>
      </c>
      <c r="L56">
        <v>5358</v>
      </c>
      <c r="M56">
        <v>5291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41181</v>
      </c>
      <c r="C60">
        <v>20078</v>
      </c>
      <c r="D60">
        <v>48039</v>
      </c>
      <c r="E60">
        <v>51428</v>
      </c>
      <c r="F60">
        <v>31673</v>
      </c>
      <c r="G60">
        <v>27031</v>
      </c>
      <c r="H60">
        <v>17974</v>
      </c>
      <c r="I60">
        <v>7858</v>
      </c>
      <c r="J60">
        <v>51716</v>
      </c>
      <c r="K60">
        <v>24810</v>
      </c>
      <c r="L60">
        <v>184159</v>
      </c>
      <c r="M60">
        <v>35419</v>
      </c>
      <c r="N60">
        <v>1213888890</v>
      </c>
      <c r="O60">
        <v>1038888890</v>
      </c>
      <c r="P60">
        <v>1093888890</v>
      </c>
      <c r="Q60">
        <v>1203888890</v>
      </c>
      <c r="R60">
        <v>1243888890</v>
      </c>
      <c r="S60">
        <v>1138888890</v>
      </c>
      <c r="T60">
        <v>1038888890</v>
      </c>
      <c r="U60">
        <v>1038888890</v>
      </c>
      <c r="V60">
        <v>1113888890</v>
      </c>
      <c r="W60">
        <v>918888890</v>
      </c>
      <c r="X60">
        <v>19618334810</v>
      </c>
      <c r="Y60">
        <v>1113888890</v>
      </c>
    </row>
    <row r="61" spans="2:25">
      <c r="B61">
        <v>41070</v>
      </c>
      <c r="C61">
        <v>20113</v>
      </c>
      <c r="D61">
        <v>48067</v>
      </c>
      <c r="E61">
        <v>51995</v>
      </c>
      <c r="F61">
        <v>31548</v>
      </c>
      <c r="G61">
        <v>27021</v>
      </c>
      <c r="H61">
        <v>19289</v>
      </c>
      <c r="I61">
        <v>8131</v>
      </c>
      <c r="J61">
        <v>54125</v>
      </c>
      <c r="K61">
        <v>25731</v>
      </c>
      <c r="L61">
        <v>180458</v>
      </c>
      <c r="M61">
        <v>33936</v>
      </c>
      <c r="N61">
        <v>1213888890</v>
      </c>
      <c r="O61">
        <v>1038888890</v>
      </c>
      <c r="P61">
        <v>1093888890</v>
      </c>
      <c r="Q61">
        <v>1203888890</v>
      </c>
      <c r="R61">
        <v>1243888890</v>
      </c>
      <c r="S61">
        <v>1138888890</v>
      </c>
      <c r="T61">
        <v>1038888890</v>
      </c>
      <c r="U61">
        <v>1038888890</v>
      </c>
      <c r="V61">
        <v>1113888890</v>
      </c>
      <c r="W61">
        <v>918888890</v>
      </c>
      <c r="X61">
        <v>19618334810</v>
      </c>
      <c r="Y61">
        <v>1113888890</v>
      </c>
    </row>
    <row r="62" spans="2:25">
      <c r="B62">
        <v>41134</v>
      </c>
      <c r="C62">
        <v>20249</v>
      </c>
      <c r="D62">
        <v>47627</v>
      </c>
      <c r="E62">
        <v>51257</v>
      </c>
      <c r="F62">
        <v>31160</v>
      </c>
      <c r="G62">
        <v>27010</v>
      </c>
      <c r="H62">
        <v>17663</v>
      </c>
      <c r="I62">
        <v>8195</v>
      </c>
      <c r="J62">
        <v>54288</v>
      </c>
      <c r="K62">
        <v>24531</v>
      </c>
      <c r="L62">
        <v>180341</v>
      </c>
      <c r="M62">
        <v>34967</v>
      </c>
      <c r="N62">
        <v>1213888890</v>
      </c>
      <c r="O62">
        <v>1038888890</v>
      </c>
      <c r="P62">
        <v>1093888890</v>
      </c>
      <c r="Q62">
        <v>1203888890</v>
      </c>
      <c r="R62">
        <v>1243888890</v>
      </c>
      <c r="S62">
        <v>1138888890</v>
      </c>
      <c r="T62">
        <v>1038888890</v>
      </c>
      <c r="U62">
        <v>1038888890</v>
      </c>
      <c r="V62">
        <v>1113888890</v>
      </c>
      <c r="W62">
        <v>918888890</v>
      </c>
      <c r="X62">
        <v>19618334810</v>
      </c>
      <c r="Y62">
        <v>1113888890</v>
      </c>
    </row>
    <row r="63" spans="2:25">
      <c r="B63">
        <v>41019</v>
      </c>
      <c r="C63">
        <v>20150</v>
      </c>
      <c r="D63">
        <v>47727</v>
      </c>
      <c r="E63">
        <v>51315</v>
      </c>
      <c r="F63">
        <v>31520</v>
      </c>
      <c r="G63">
        <v>27036</v>
      </c>
      <c r="H63">
        <v>18496</v>
      </c>
      <c r="I63">
        <v>7811</v>
      </c>
      <c r="J63">
        <v>51969</v>
      </c>
      <c r="K63">
        <v>23331</v>
      </c>
      <c r="L63">
        <v>175374</v>
      </c>
      <c r="M63">
        <v>33444</v>
      </c>
      <c r="N63">
        <v>1213888890</v>
      </c>
      <c r="O63">
        <v>1038888890</v>
      </c>
      <c r="P63">
        <v>1093888890</v>
      </c>
      <c r="Q63">
        <v>1203888890</v>
      </c>
      <c r="R63">
        <v>1243888890</v>
      </c>
      <c r="S63">
        <v>1138888890</v>
      </c>
      <c r="T63">
        <v>1038888890</v>
      </c>
      <c r="U63">
        <v>1038888890</v>
      </c>
      <c r="V63">
        <v>1113888890</v>
      </c>
      <c r="W63">
        <v>918888890</v>
      </c>
      <c r="X63">
        <v>19618334810</v>
      </c>
      <c r="Y63">
        <v>1113888890</v>
      </c>
    </row>
    <row r="64" spans="2:25">
      <c r="B64">
        <v>41297</v>
      </c>
      <c r="C64">
        <v>20197</v>
      </c>
      <c r="D64">
        <v>48489</v>
      </c>
      <c r="E64">
        <v>51123</v>
      </c>
      <c r="F64">
        <v>31549</v>
      </c>
      <c r="G64">
        <v>27159</v>
      </c>
      <c r="H64">
        <v>18038</v>
      </c>
      <c r="I64">
        <v>8103</v>
      </c>
      <c r="J64">
        <v>50517</v>
      </c>
      <c r="K64">
        <v>23692</v>
      </c>
      <c r="L64">
        <v>176483</v>
      </c>
      <c r="M64">
        <v>33769</v>
      </c>
      <c r="N64">
        <v>1213888890</v>
      </c>
      <c r="O64">
        <v>1038888890</v>
      </c>
      <c r="P64">
        <v>1093888890</v>
      </c>
      <c r="Q64">
        <v>1203888890</v>
      </c>
      <c r="R64">
        <v>1243888890</v>
      </c>
      <c r="S64">
        <v>1138888890</v>
      </c>
      <c r="T64">
        <v>1038888890</v>
      </c>
      <c r="U64">
        <v>1038888890</v>
      </c>
      <c r="V64">
        <v>1113888890</v>
      </c>
      <c r="W64">
        <v>918888890</v>
      </c>
      <c r="X64">
        <v>19618334810</v>
      </c>
      <c r="Y64">
        <v>1113888890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108652</v>
      </c>
      <c r="C68">
        <v>40563</v>
      </c>
      <c r="D68">
        <v>118485</v>
      </c>
      <c r="E68">
        <v>116881</v>
      </c>
      <c r="F68">
        <v>58530</v>
      </c>
      <c r="G68">
        <v>59014</v>
      </c>
      <c r="H68">
        <v>45486</v>
      </c>
      <c r="I68">
        <v>12512</v>
      </c>
      <c r="J68">
        <v>95586</v>
      </c>
      <c r="L68">
        <v>493214</v>
      </c>
      <c r="M68">
        <v>91775</v>
      </c>
    </row>
    <row r="69" spans="2:13">
      <c r="B69">
        <v>108604</v>
      </c>
      <c r="C69">
        <v>40510</v>
      </c>
      <c r="D69">
        <v>118341</v>
      </c>
      <c r="E69">
        <v>116437</v>
      </c>
      <c r="F69">
        <v>58389</v>
      </c>
      <c r="G69">
        <v>59376</v>
      </c>
      <c r="H69">
        <v>44651</v>
      </c>
      <c r="I69">
        <v>13015</v>
      </c>
      <c r="J69">
        <v>100872</v>
      </c>
      <c r="L69">
        <v>485976</v>
      </c>
      <c r="M69">
        <v>91704</v>
      </c>
    </row>
    <row r="70" spans="2:13">
      <c r="B70">
        <v>108281</v>
      </c>
      <c r="C70">
        <v>40858</v>
      </c>
      <c r="D70">
        <v>118820</v>
      </c>
      <c r="E70">
        <v>115850</v>
      </c>
      <c r="F70">
        <v>58484</v>
      </c>
      <c r="G70">
        <v>59061</v>
      </c>
      <c r="H70">
        <v>44628</v>
      </c>
      <c r="I70">
        <v>12853</v>
      </c>
      <c r="J70">
        <v>95930</v>
      </c>
      <c r="L70">
        <v>487603</v>
      </c>
      <c r="M70">
        <v>88849</v>
      </c>
    </row>
    <row r="71" spans="2:13">
      <c r="B71">
        <v>108413</v>
      </c>
      <c r="C71">
        <v>40513</v>
      </c>
      <c r="D71">
        <v>118117</v>
      </c>
      <c r="E71">
        <v>116531</v>
      </c>
      <c r="F71">
        <v>59191</v>
      </c>
      <c r="G71">
        <v>58954</v>
      </c>
      <c r="H71">
        <v>42227</v>
      </c>
      <c r="I71">
        <v>13942</v>
      </c>
      <c r="J71">
        <v>97251</v>
      </c>
      <c r="L71">
        <v>483623</v>
      </c>
      <c r="M71">
        <v>86531</v>
      </c>
    </row>
    <row r="72" spans="2:13">
      <c r="B72">
        <v>108791</v>
      </c>
      <c r="C72">
        <v>40953</v>
      </c>
      <c r="D72">
        <v>118561</v>
      </c>
      <c r="E72">
        <v>115501</v>
      </c>
      <c r="F72">
        <v>58504</v>
      </c>
      <c r="G72">
        <v>58925</v>
      </c>
      <c r="H72">
        <v>43240</v>
      </c>
      <c r="I72">
        <v>12144</v>
      </c>
      <c r="J72">
        <v>97337</v>
      </c>
      <c r="L72">
        <v>485822</v>
      </c>
      <c r="M72">
        <v>90702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45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AVERAGE(Table62[Newtonsoft])</f>
        <v>74.400000000000006</v>
      </c>
      <c r="D38" s="2">
        <f>AVERAGE(Table62[Revenj])</f>
        <v>73.599999999999994</v>
      </c>
      <c r="E38" s="2" t="e">
        <f>AVERAGE(Table62[fastJSON])</f>
        <v>#DIV/0!</v>
      </c>
      <c r="F38" s="2">
        <f>AVERAGE(Table62[Service Stack])</f>
        <v>78.2</v>
      </c>
      <c r="G38" s="2" t="e">
        <f>AVERAGE(Table62[Jil])</f>
        <v>#DIV/0!</v>
      </c>
      <c r="H38" s="2" t="e">
        <f>AVERAGE(Table62[NetJSON])</f>
        <v>#DIV/0!</v>
      </c>
      <c r="I38" s="2">
        <f>AVERAGE(Table62[Jackson])</f>
        <v>80</v>
      </c>
      <c r="J38" s="2">
        <f>AVERAGE(Table62[DSL Platform Java])</f>
        <v>28</v>
      </c>
      <c r="K38" s="2">
        <f>AVERAGE(Table62[Genson])</f>
        <v>68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80</v>
      </c>
      <c r="O38" s="2"/>
      <c r="P38" s="2"/>
      <c r="Q38" s="2"/>
    </row>
    <row r="39" spans="2:17">
      <c r="B39" t="s">
        <v>0</v>
      </c>
      <c r="C39" s="2">
        <f>AVERAGE(Table61[Newtonsoft]) - C38</f>
        <v>209.4</v>
      </c>
      <c r="D39" s="2">
        <f>AVERAGE(Table61[Revenj]) - D38</f>
        <v>50.600000000000009</v>
      </c>
      <c r="E39" s="2" t="e">
        <f>AVERAGE(Table61[fastJSON]) - E38</f>
        <v>#DIV/0!</v>
      </c>
      <c r="F39" s="2">
        <f>AVERAGE(Table61[Service Stack]) - F38</f>
        <v>177.2</v>
      </c>
      <c r="G39" s="2" t="e">
        <f>AVERAGE(Table61[Jil]) - G38</f>
        <v>#DIV/0!</v>
      </c>
      <c r="H39" s="2" t="e">
        <f>AVERAGE(Table61[NetJSON]) - H38</f>
        <v>#DIV/0!</v>
      </c>
      <c r="I39" s="2">
        <f>AVERAGE(Table61[Jackson]) - I38</f>
        <v>431</v>
      </c>
      <c r="J39" s="2">
        <f>AVERAGE(Table61[DSL Platform Java]) - J38</f>
        <v>100.4</v>
      </c>
      <c r="K39" s="2">
        <f>AVERAGE(Table61[Genson]) - K38</f>
        <v>405.8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385.6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177</v>
      </c>
      <c r="D40" s="2">
        <f t="shared" si="0"/>
        <v>78.400000000000006</v>
      </c>
      <c r="E40" s="2" t="e">
        <f t="shared" ref="E40" si="1">E41 - E39 - E38</f>
        <v>#DIV/0!</v>
      </c>
      <c r="F40" s="2">
        <f t="shared" si="0"/>
        <v>180.20000000000005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582.20000000000005</v>
      </c>
      <c r="J40" s="2">
        <f t="shared" ref="J40" si="3">J41 - J39 - J38</f>
        <v>149.20000000000002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449.6</v>
      </c>
      <c r="O40" s="2"/>
      <c r="P40" s="2"/>
      <c r="Q40" s="2"/>
    </row>
    <row r="41" spans="2:17">
      <c r="B41" t="s">
        <v>25</v>
      </c>
      <c r="C41" s="2">
        <f>AVERAGE(Table63[Newtonsoft])</f>
        <v>460.8</v>
      </c>
      <c r="D41" s="2">
        <f>AVERAGE(Table63[Revenj])</f>
        <v>202.6</v>
      </c>
      <c r="E41" s="2" t="e">
        <f>AVERAGE(Table63[fastJSON])</f>
        <v>#DIV/0!</v>
      </c>
      <c r="F41" s="2">
        <f>AVERAGE(Table63[Service Stack])</f>
        <v>435.6</v>
      </c>
      <c r="G41" s="2" t="e">
        <f>AVERAGE(Table63[Jil])</f>
        <v>#DIV/0!</v>
      </c>
      <c r="H41" s="2" t="e">
        <f>AVERAGE(Table63[NetJSON])</f>
        <v>#DIV/0!</v>
      </c>
      <c r="I41" s="2">
        <f>AVERAGE(Table63[Jackson])</f>
        <v>1093.2</v>
      </c>
      <c r="J41" s="2">
        <f>AVERAGE(Table63[DSL Platform Java])</f>
        <v>277.60000000000002</v>
      </c>
      <c r="K41" s="4" t="s">
        <v>53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915.2</v>
      </c>
      <c r="O41" s="2"/>
      <c r="P41" s="2"/>
      <c r="Q41" s="2"/>
    </row>
    <row r="42" spans="2:17">
      <c r="B42" t="s">
        <v>4</v>
      </c>
      <c r="C42" s="3">
        <f>AVERAGE(Table61[Newtonsoft (size)])</f>
        <v>2234454</v>
      </c>
      <c r="D42" s="3">
        <f>AVERAGE(Table61[Revenj (size)])</f>
        <v>1802584</v>
      </c>
      <c r="E42" s="3" t="e">
        <f>AVERAGE(Table61[fastJSON (size)])</f>
        <v>#DIV/0!</v>
      </c>
      <c r="F42" s="3">
        <f>AVERAGE(Table61[Service Stack (size)])</f>
        <v>1740659</v>
      </c>
      <c r="G42" s="2" t="e">
        <f>AVERAGE(Table61[Jil (size)])</f>
        <v>#DIV/0!</v>
      </c>
      <c r="H42" s="2" t="e">
        <f>AVERAGE(Table61[NetJSON (size)])</f>
        <v>#DIV/0!</v>
      </c>
      <c r="I42" s="2">
        <f>AVERAGE(Table61[Jackson (size)])</f>
        <v>1762584</v>
      </c>
      <c r="J42" s="2">
        <f>AVERAGE(Table61[DSL Platform Java (size)])</f>
        <v>1762584</v>
      </c>
      <c r="K42" s="2">
        <f>AVERAGE(Table61[Genson (size)])</f>
        <v>2079785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DEVSQ(Table61[Newtonsoft])</f>
        <v>28.8</v>
      </c>
      <c r="D47" s="2">
        <f>DEVSQ(Table61[Revenj])</f>
        <v>0.8</v>
      </c>
      <c r="E47" s="2" t="e">
        <f>DEVSQ(Table61[fastJSON])</f>
        <v>#NUM!</v>
      </c>
      <c r="F47" s="2">
        <f>DEVSQ(Table61[Service Stack])</f>
        <v>1.2</v>
      </c>
      <c r="G47" s="2" t="e">
        <f>DEVSQ(Table61[Jil])</f>
        <v>#NUM!</v>
      </c>
      <c r="H47" s="2" t="e">
        <f>DEVSQ(Table61[NetJSON])</f>
        <v>#NUM!</v>
      </c>
      <c r="I47" s="2">
        <f>DEVSQ(Table61[Jackson])</f>
        <v>4</v>
      </c>
      <c r="J47" s="2">
        <f>DEVSQ(Table61[DSL Platform Java])</f>
        <v>1.2</v>
      </c>
      <c r="K47" s="2">
        <f>DEVSQ(Table61[Genson])</f>
        <v>14.8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23.200000000000003</v>
      </c>
      <c r="O47" s="2"/>
      <c r="P47" s="2"/>
      <c r="Q47" s="2"/>
    </row>
    <row r="48" spans="2:17">
      <c r="B48" t="s">
        <v>25</v>
      </c>
      <c r="C48" s="2">
        <f>DEVSQ(Table63[Newtonsoft])</f>
        <v>1550.8000000000002</v>
      </c>
      <c r="D48" s="2">
        <f>DEVSQ(Table63[Revenj])</f>
        <v>1.2</v>
      </c>
      <c r="E48" s="2" t="e">
        <f>DEVSQ(Table63[fastJSON])</f>
        <v>#NUM!</v>
      </c>
      <c r="F48" s="2">
        <f>DEVSQ(Table63[Service Stack])</f>
        <v>1.2000000000000002</v>
      </c>
      <c r="G48" s="2" t="e">
        <f>DEVSQ(Table63[Jil])</f>
        <v>#NUM!</v>
      </c>
      <c r="H48" s="2" t="e">
        <f>DEVSQ(Table63[NetJSON])</f>
        <v>#NUM!</v>
      </c>
      <c r="I48" s="2">
        <f>DEVSQ(Table63[Jackson])</f>
        <v>74.8</v>
      </c>
      <c r="J48" s="2">
        <f>DEVSQ(Table63[DSL Platform Java])</f>
        <v>3.2</v>
      </c>
      <c r="K48" s="2">
        <f>DEVSQ(Table63[Genson])</f>
        <v>274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64.8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74</v>
      </c>
      <c r="C52">
        <v>73</v>
      </c>
      <c r="E52">
        <v>78</v>
      </c>
      <c r="H52">
        <v>80</v>
      </c>
      <c r="I52">
        <v>28</v>
      </c>
      <c r="J52">
        <v>68</v>
      </c>
      <c r="M52">
        <v>80</v>
      </c>
    </row>
    <row r="53" spans="2:25">
      <c r="B53">
        <v>74</v>
      </c>
      <c r="C53">
        <v>73</v>
      </c>
      <c r="E53">
        <v>78</v>
      </c>
      <c r="H53">
        <v>80</v>
      </c>
      <c r="I53">
        <v>28</v>
      </c>
      <c r="J53">
        <v>68</v>
      </c>
      <c r="M53">
        <v>80</v>
      </c>
    </row>
    <row r="54" spans="2:25">
      <c r="B54">
        <v>74</v>
      </c>
      <c r="C54">
        <v>74</v>
      </c>
      <c r="E54">
        <v>78</v>
      </c>
      <c r="H54">
        <v>80</v>
      </c>
      <c r="I54">
        <v>28</v>
      </c>
      <c r="J54">
        <v>68</v>
      </c>
      <c r="M54">
        <v>80</v>
      </c>
    </row>
    <row r="55" spans="2:25">
      <c r="B55">
        <v>74</v>
      </c>
      <c r="C55">
        <v>74</v>
      </c>
      <c r="E55">
        <v>79</v>
      </c>
      <c r="H55">
        <v>80</v>
      </c>
      <c r="I55">
        <v>28</v>
      </c>
      <c r="J55">
        <v>68</v>
      </c>
      <c r="M55">
        <v>80</v>
      </c>
    </row>
    <row r="56" spans="2:25">
      <c r="B56">
        <v>76</v>
      </c>
      <c r="C56">
        <v>74</v>
      </c>
      <c r="E56">
        <v>78</v>
      </c>
      <c r="H56">
        <v>80</v>
      </c>
      <c r="I56">
        <v>28</v>
      </c>
      <c r="J56">
        <v>68</v>
      </c>
      <c r="M56">
        <v>80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284</v>
      </c>
      <c r="C60">
        <v>124</v>
      </c>
      <c r="E60">
        <v>255</v>
      </c>
      <c r="H60">
        <v>512</v>
      </c>
      <c r="I60">
        <v>128</v>
      </c>
      <c r="J60">
        <v>476</v>
      </c>
      <c r="M60">
        <v>464</v>
      </c>
      <c r="N60">
        <v>2234454</v>
      </c>
      <c r="O60">
        <v>1802584</v>
      </c>
      <c r="Q60">
        <v>1740659</v>
      </c>
      <c r="T60">
        <v>1762584</v>
      </c>
      <c r="U60">
        <v>1762584</v>
      </c>
      <c r="V60">
        <v>2079785</v>
      </c>
      <c r="Y60">
        <v>1763995</v>
      </c>
    </row>
    <row r="61" spans="2:25">
      <c r="B61">
        <v>282</v>
      </c>
      <c r="C61">
        <v>124</v>
      </c>
      <c r="E61">
        <v>255</v>
      </c>
      <c r="H61">
        <v>510</v>
      </c>
      <c r="I61">
        <v>128</v>
      </c>
      <c r="J61">
        <v>473</v>
      </c>
      <c r="M61">
        <v>467</v>
      </c>
      <c r="N61">
        <v>2234454</v>
      </c>
      <c r="O61">
        <v>1802584</v>
      </c>
      <c r="Q61">
        <v>1740659</v>
      </c>
      <c r="T61">
        <v>1762584</v>
      </c>
      <c r="U61">
        <v>1762584</v>
      </c>
      <c r="V61">
        <v>2079785</v>
      </c>
      <c r="Y61">
        <v>1763995</v>
      </c>
    </row>
    <row r="62" spans="2:25">
      <c r="B62">
        <v>284</v>
      </c>
      <c r="C62">
        <v>124</v>
      </c>
      <c r="E62">
        <v>255</v>
      </c>
      <c r="H62">
        <v>510</v>
      </c>
      <c r="I62">
        <v>129</v>
      </c>
      <c r="J62">
        <v>474</v>
      </c>
      <c r="M62">
        <v>469</v>
      </c>
      <c r="N62">
        <v>2234454</v>
      </c>
      <c r="O62">
        <v>1802584</v>
      </c>
      <c r="Q62">
        <v>1740659</v>
      </c>
      <c r="T62">
        <v>1762584</v>
      </c>
      <c r="U62">
        <v>1762584</v>
      </c>
      <c r="V62">
        <v>2079785</v>
      </c>
      <c r="Y62">
        <v>1763995</v>
      </c>
    </row>
    <row r="63" spans="2:25">
      <c r="B63">
        <v>281</v>
      </c>
      <c r="C63">
        <v>124</v>
      </c>
      <c r="E63">
        <v>256</v>
      </c>
      <c r="H63">
        <v>512</v>
      </c>
      <c r="I63">
        <v>129</v>
      </c>
      <c r="J63">
        <v>471</v>
      </c>
      <c r="M63">
        <v>465</v>
      </c>
      <c r="N63">
        <v>2234454</v>
      </c>
      <c r="O63">
        <v>1802584</v>
      </c>
      <c r="Q63">
        <v>1740659</v>
      </c>
      <c r="T63">
        <v>1762584</v>
      </c>
      <c r="U63">
        <v>1762584</v>
      </c>
      <c r="V63">
        <v>2079785</v>
      </c>
      <c r="Y63">
        <v>1763995</v>
      </c>
    </row>
    <row r="64" spans="2:25">
      <c r="B64">
        <v>288</v>
      </c>
      <c r="C64">
        <v>125</v>
      </c>
      <c r="E64">
        <v>256</v>
      </c>
      <c r="H64">
        <v>511</v>
      </c>
      <c r="I64">
        <v>128</v>
      </c>
      <c r="J64">
        <v>475</v>
      </c>
      <c r="M64">
        <v>463</v>
      </c>
      <c r="N64">
        <v>2234454</v>
      </c>
      <c r="O64">
        <v>1802584</v>
      </c>
      <c r="Q64">
        <v>1740659</v>
      </c>
      <c r="T64">
        <v>1762584</v>
      </c>
      <c r="U64">
        <v>1762584</v>
      </c>
      <c r="V64">
        <v>2079785</v>
      </c>
      <c r="Y64">
        <v>1763995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496</v>
      </c>
      <c r="C68">
        <v>203</v>
      </c>
      <c r="E68">
        <v>435</v>
      </c>
      <c r="H68">
        <v>1096</v>
      </c>
      <c r="I68">
        <v>278</v>
      </c>
      <c r="J68">
        <v>765</v>
      </c>
      <c r="M68">
        <v>915</v>
      </c>
    </row>
    <row r="69" spans="2:13">
      <c r="B69">
        <v>451</v>
      </c>
      <c r="C69">
        <v>203</v>
      </c>
      <c r="E69">
        <v>435</v>
      </c>
      <c r="H69">
        <v>1096</v>
      </c>
      <c r="I69">
        <v>278</v>
      </c>
      <c r="J69">
        <v>763</v>
      </c>
      <c r="M69">
        <v>920</v>
      </c>
    </row>
    <row r="70" spans="2:13">
      <c r="B70">
        <v>453</v>
      </c>
      <c r="C70">
        <v>202</v>
      </c>
      <c r="E70">
        <v>436</v>
      </c>
      <c r="H70">
        <v>1097</v>
      </c>
      <c r="I70">
        <v>278</v>
      </c>
      <c r="J70">
        <v>750</v>
      </c>
      <c r="M70">
        <v>915</v>
      </c>
    </row>
    <row r="71" spans="2:13">
      <c r="B71">
        <v>452</v>
      </c>
      <c r="C71">
        <v>203</v>
      </c>
      <c r="E71">
        <v>436</v>
      </c>
      <c r="H71">
        <v>1088</v>
      </c>
      <c r="I71">
        <v>276</v>
      </c>
      <c r="J71">
        <v>748</v>
      </c>
      <c r="M71">
        <v>917</v>
      </c>
    </row>
    <row r="72" spans="2:13">
      <c r="B72">
        <v>452</v>
      </c>
      <c r="C72">
        <v>202</v>
      </c>
      <c r="E72">
        <v>436</v>
      </c>
      <c r="H72">
        <v>1089</v>
      </c>
      <c r="I72">
        <v>278</v>
      </c>
      <c r="J72">
        <v>749</v>
      </c>
      <c r="M72">
        <v>909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K41" sqref="K4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46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AVERAGE(Table67[Newtonsoft])</f>
        <v>303.39999999999998</v>
      </c>
      <c r="D38" s="2">
        <f>AVERAGE(Table67[Revenj])</f>
        <v>302.60000000000002</v>
      </c>
      <c r="E38" s="2" t="e">
        <f>AVERAGE(Table67[fastJSON])</f>
        <v>#DIV/0!</v>
      </c>
      <c r="F38" s="2">
        <f>AVERAGE(Table67[Service Stack])</f>
        <v>305.8</v>
      </c>
      <c r="G38" s="2" t="e">
        <f>AVERAGE(Table67[Jil])</f>
        <v>#DIV/0!</v>
      </c>
      <c r="H38" s="2" t="e">
        <f>AVERAGE(Table67[NetJSON])</f>
        <v>#DIV/0!</v>
      </c>
      <c r="I38" s="2">
        <f>AVERAGE(Table67[Jackson])</f>
        <v>94.2</v>
      </c>
      <c r="J38" s="2">
        <f>AVERAGE(Table67[DSL Platform Java])</f>
        <v>42.4</v>
      </c>
      <c r="K38" s="2">
        <f>AVERAGE(Table67[Genson])</f>
        <v>83.2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94.2</v>
      </c>
      <c r="O38" s="2"/>
      <c r="P38" s="2"/>
      <c r="Q38" s="2"/>
    </row>
    <row r="39" spans="2:17">
      <c r="B39" t="s">
        <v>0</v>
      </c>
      <c r="C39" s="2">
        <f>AVERAGE(Table66[Newtonsoft]) - C38</f>
        <v>1001.4</v>
      </c>
      <c r="D39" s="2">
        <f>AVERAGE(Table66[Revenj]) - D38</f>
        <v>381.6</v>
      </c>
      <c r="E39" s="2" t="e">
        <f>AVERAGE(Table66[fastJSON]) - E38</f>
        <v>#DIV/0!</v>
      </c>
      <c r="F39" s="2">
        <f>AVERAGE(Table66[Service Stack]) - F38</f>
        <v>853.8</v>
      </c>
      <c r="G39" s="2" t="e">
        <f>AVERAGE(Table66[Jil]) - G38</f>
        <v>#DIV/0!</v>
      </c>
      <c r="H39" s="2" t="e">
        <f>AVERAGE(Table66[NetJSON]) - H38</f>
        <v>#DIV/0!</v>
      </c>
      <c r="I39" s="2">
        <f>AVERAGE(Table66[Jackson]) - I38</f>
        <v>825.59999999999991</v>
      </c>
      <c r="J39" s="2">
        <f>AVERAGE(Table66[DSL Platform Java]) - J38</f>
        <v>192.6</v>
      </c>
      <c r="K39" s="2">
        <f>AVERAGE(Table66[Genson]) - K38</f>
        <v>1113.2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1043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1213.5999999999999</v>
      </c>
      <c r="D40" s="2">
        <f t="shared" si="0"/>
        <v>588.79999999999995</v>
      </c>
      <c r="E40" s="2" t="e">
        <f t="shared" ref="E40" si="1">E41 - E39 - E38</f>
        <v>#DIV/0!</v>
      </c>
      <c r="F40" s="2">
        <f t="shared" si="0"/>
        <v>1191.8000000000002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1252.2</v>
      </c>
      <c r="J40" s="2">
        <f t="shared" ref="J40" si="3">J41 - J39 - J38</f>
        <v>296.39999999999998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1322.9999999999998</v>
      </c>
      <c r="O40" s="2"/>
      <c r="P40" s="2"/>
      <c r="Q40" s="2"/>
    </row>
    <row r="41" spans="2:17">
      <c r="B41" t="s">
        <v>25</v>
      </c>
      <c r="C41" s="2">
        <f>AVERAGE(Table68[Newtonsoft])</f>
        <v>2518.4</v>
      </c>
      <c r="D41" s="2">
        <f>AVERAGE(Table68[Revenj])</f>
        <v>1273</v>
      </c>
      <c r="E41" s="2" t="e">
        <f>AVERAGE(Table68[fastJSON])</f>
        <v>#DIV/0!</v>
      </c>
      <c r="F41" s="2">
        <f>AVERAGE(Table68[Service Stack])</f>
        <v>2351.4</v>
      </c>
      <c r="G41" s="2" t="e">
        <f>AVERAGE(Table68[Jil])</f>
        <v>#DIV/0!</v>
      </c>
      <c r="H41" s="2" t="e">
        <f>AVERAGE(Table68[NetJSON])</f>
        <v>#DIV/0!</v>
      </c>
      <c r="I41" s="2">
        <f>AVERAGE(Table68[Jackson])</f>
        <v>2172</v>
      </c>
      <c r="J41" s="2">
        <f>AVERAGE(Table68[DSL Platform Java])</f>
        <v>531.4</v>
      </c>
      <c r="K41" s="4" t="s">
        <v>53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2460.1999999999998</v>
      </c>
      <c r="O41" s="2"/>
      <c r="P41" s="2"/>
      <c r="Q41" s="2"/>
    </row>
    <row r="42" spans="2:17">
      <c r="B42" t="s">
        <v>4</v>
      </c>
      <c r="C42" s="3">
        <f>AVERAGE(Table66[Newtonsoft (size)])</f>
        <v>23246001</v>
      </c>
      <c r="D42" s="3">
        <f>AVERAGE(Table66[Revenj (size)])</f>
        <v>18939843</v>
      </c>
      <c r="E42" s="3" t="e">
        <f>AVERAGE(Table66[fastJSON (size)])</f>
        <v>#DIV/0!</v>
      </c>
      <c r="F42" s="3">
        <f>AVERAGE(Table66[Service Stack (size)])</f>
        <v>18307918</v>
      </c>
      <c r="G42" s="2" t="e">
        <f>AVERAGE(Table66[Jil (size)])</f>
        <v>#DIV/0!</v>
      </c>
      <c r="H42" s="2" t="e">
        <f>AVERAGE(Table66[NetJSON (size)])</f>
        <v>#DIV/0!</v>
      </c>
      <c r="I42" s="2">
        <f>AVERAGE(Table66[Jackson (size)])</f>
        <v>18539843</v>
      </c>
      <c r="J42" s="2">
        <f>AVERAGE(Table66[DSL Platform Java (size)])</f>
        <v>18539843</v>
      </c>
      <c r="K42" s="2">
        <f>AVERAGE(Table66[Genson (size)])</f>
        <v>21699332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DEVSQ(Table66[Newtonsoft])</f>
        <v>572.79999999999995</v>
      </c>
      <c r="D47" s="2">
        <f>DEVSQ(Table66[Revenj])</f>
        <v>18.8</v>
      </c>
      <c r="E47" s="2" t="e">
        <f>DEVSQ(Table66[fastJSON])</f>
        <v>#NUM!</v>
      </c>
      <c r="F47" s="2">
        <f>DEVSQ(Table66[Service Stack])</f>
        <v>13.200000000000001</v>
      </c>
      <c r="G47" s="2" t="e">
        <f>DEVSQ(Table66[Jil])</f>
        <v>#NUM!</v>
      </c>
      <c r="H47" s="2" t="e">
        <f>DEVSQ(Table66[NetJSON])</f>
        <v>#NUM!</v>
      </c>
      <c r="I47" s="2">
        <f>DEVSQ(Table66[Jackson])</f>
        <v>148.80000000000001</v>
      </c>
      <c r="J47" s="2">
        <f>DEVSQ(Table66[DSL Platform Java])</f>
        <v>20</v>
      </c>
      <c r="K47" s="2">
        <f>DEVSQ(Table66[Genson])</f>
        <v>615.20000000000005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1134.8</v>
      </c>
      <c r="O47" s="2"/>
      <c r="P47" s="2"/>
      <c r="Q47" s="2"/>
    </row>
    <row r="48" spans="2:17">
      <c r="B48" t="s">
        <v>25</v>
      </c>
      <c r="C48" s="2">
        <f>DEVSQ(Table68[Newtonsoft])</f>
        <v>1059.2</v>
      </c>
      <c r="D48" s="2">
        <f>DEVSQ(Table68[Revenj])</f>
        <v>90</v>
      </c>
      <c r="E48" s="2" t="e">
        <f>DEVSQ(Table68[fastJSON])</f>
        <v>#NUM!</v>
      </c>
      <c r="F48" s="2">
        <f>DEVSQ(Table68[Service Stack])</f>
        <v>241.2</v>
      </c>
      <c r="G48" s="2" t="e">
        <f>DEVSQ(Table68[Jil])</f>
        <v>#NUM!</v>
      </c>
      <c r="H48" s="2" t="e">
        <f>DEVSQ(Table68[NetJSON])</f>
        <v>#NUM!</v>
      </c>
      <c r="I48" s="2">
        <f>DEVSQ(Table68[Jackson])</f>
        <v>264</v>
      </c>
      <c r="J48" s="2">
        <f>DEVSQ(Table68[DSL Platform Java])</f>
        <v>53.2</v>
      </c>
      <c r="K48" s="2">
        <f>DEVSQ(Table68[Genson])</f>
        <v>899.2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686.8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302</v>
      </c>
      <c r="C52">
        <v>302</v>
      </c>
      <c r="E52">
        <v>304</v>
      </c>
      <c r="H52">
        <v>94</v>
      </c>
      <c r="I52">
        <v>42</v>
      </c>
      <c r="J52">
        <v>83</v>
      </c>
      <c r="M52">
        <v>94</v>
      </c>
    </row>
    <row r="53" spans="2:25">
      <c r="B53">
        <v>302</v>
      </c>
      <c r="C53">
        <v>303</v>
      </c>
      <c r="E53">
        <v>307</v>
      </c>
      <c r="H53">
        <v>94</v>
      </c>
      <c r="I53">
        <v>42</v>
      </c>
      <c r="J53">
        <v>84</v>
      </c>
      <c r="M53">
        <v>94</v>
      </c>
    </row>
    <row r="54" spans="2:25">
      <c r="B54">
        <v>305</v>
      </c>
      <c r="C54">
        <v>302</v>
      </c>
      <c r="E54">
        <v>307</v>
      </c>
      <c r="H54">
        <v>94</v>
      </c>
      <c r="I54">
        <v>42</v>
      </c>
      <c r="J54">
        <v>83</v>
      </c>
      <c r="M54">
        <v>94</v>
      </c>
    </row>
    <row r="55" spans="2:25">
      <c r="B55">
        <v>305</v>
      </c>
      <c r="C55">
        <v>305</v>
      </c>
      <c r="E55">
        <v>304</v>
      </c>
      <c r="H55">
        <v>94</v>
      </c>
      <c r="I55">
        <v>43</v>
      </c>
      <c r="J55">
        <v>83</v>
      </c>
      <c r="M55">
        <v>94</v>
      </c>
    </row>
    <row r="56" spans="2:25">
      <c r="B56">
        <v>303</v>
      </c>
      <c r="C56">
        <v>301</v>
      </c>
      <c r="E56">
        <v>307</v>
      </c>
      <c r="H56">
        <v>95</v>
      </c>
      <c r="I56">
        <v>43</v>
      </c>
      <c r="J56">
        <v>83</v>
      </c>
      <c r="M56">
        <v>95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1294</v>
      </c>
      <c r="C60">
        <v>681</v>
      </c>
      <c r="E60">
        <v>1158</v>
      </c>
      <c r="H60">
        <v>912</v>
      </c>
      <c r="I60">
        <v>234</v>
      </c>
      <c r="J60">
        <v>1185</v>
      </c>
      <c r="M60">
        <v>1153</v>
      </c>
      <c r="N60">
        <v>23246001</v>
      </c>
      <c r="O60">
        <v>18939843</v>
      </c>
      <c r="Q60">
        <v>18307918</v>
      </c>
      <c r="T60">
        <v>18539843</v>
      </c>
      <c r="U60">
        <v>18539843</v>
      </c>
      <c r="V60">
        <v>21699332</v>
      </c>
      <c r="Y60">
        <v>18541254</v>
      </c>
    </row>
    <row r="61" spans="2:25">
      <c r="B61">
        <v>1325</v>
      </c>
      <c r="C61">
        <v>683</v>
      </c>
      <c r="E61">
        <v>1162</v>
      </c>
      <c r="H61">
        <v>926</v>
      </c>
      <c r="I61">
        <v>238</v>
      </c>
      <c r="J61">
        <v>1213</v>
      </c>
      <c r="M61">
        <v>1135</v>
      </c>
      <c r="N61">
        <v>23246001</v>
      </c>
      <c r="O61">
        <v>18939843</v>
      </c>
      <c r="Q61">
        <v>18307918</v>
      </c>
      <c r="T61">
        <v>18539843</v>
      </c>
      <c r="U61">
        <v>18539843</v>
      </c>
      <c r="V61">
        <v>21699332</v>
      </c>
      <c r="Y61">
        <v>18541254</v>
      </c>
    </row>
    <row r="62" spans="2:25">
      <c r="B62">
        <v>1299</v>
      </c>
      <c r="C62">
        <v>685</v>
      </c>
      <c r="E62">
        <v>1158</v>
      </c>
      <c r="H62">
        <v>917</v>
      </c>
      <c r="I62">
        <v>232</v>
      </c>
      <c r="J62">
        <v>1205</v>
      </c>
      <c r="M62">
        <v>1120</v>
      </c>
      <c r="N62">
        <v>23246001</v>
      </c>
      <c r="O62">
        <v>18939843</v>
      </c>
      <c r="Q62">
        <v>18307918</v>
      </c>
      <c r="T62">
        <v>18539843</v>
      </c>
      <c r="U62">
        <v>18539843</v>
      </c>
      <c r="V62">
        <v>21699332</v>
      </c>
      <c r="Y62">
        <v>18541254</v>
      </c>
    </row>
    <row r="63" spans="2:25">
      <c r="B63">
        <v>1301</v>
      </c>
      <c r="C63">
        <v>686</v>
      </c>
      <c r="E63">
        <v>1159</v>
      </c>
      <c r="H63">
        <v>918</v>
      </c>
      <c r="I63">
        <v>235</v>
      </c>
      <c r="J63">
        <v>1194</v>
      </c>
      <c r="M63">
        <v>1156</v>
      </c>
      <c r="N63">
        <v>23246001</v>
      </c>
      <c r="O63">
        <v>18939843</v>
      </c>
      <c r="Q63">
        <v>18307918</v>
      </c>
      <c r="T63">
        <v>18539843</v>
      </c>
      <c r="U63">
        <v>18539843</v>
      </c>
      <c r="V63">
        <v>21699332</v>
      </c>
      <c r="Y63">
        <v>18541254</v>
      </c>
    </row>
    <row r="64" spans="2:25">
      <c r="B64">
        <v>1305</v>
      </c>
      <c r="C64">
        <v>686</v>
      </c>
      <c r="E64">
        <v>1161</v>
      </c>
      <c r="H64">
        <v>926</v>
      </c>
      <c r="I64">
        <v>236</v>
      </c>
      <c r="J64">
        <v>1185</v>
      </c>
      <c r="M64">
        <v>1122</v>
      </c>
      <c r="N64">
        <v>23246001</v>
      </c>
      <c r="O64">
        <v>18939843</v>
      </c>
      <c r="Q64">
        <v>18307918</v>
      </c>
      <c r="T64">
        <v>18539843</v>
      </c>
      <c r="U64">
        <v>18539843</v>
      </c>
      <c r="V64">
        <v>21699332</v>
      </c>
      <c r="Y64">
        <v>18541254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2497</v>
      </c>
      <c r="C68">
        <v>1270</v>
      </c>
      <c r="E68">
        <v>2355</v>
      </c>
      <c r="H68">
        <v>2167</v>
      </c>
      <c r="I68">
        <v>534</v>
      </c>
      <c r="J68">
        <v>2159</v>
      </c>
      <c r="M68">
        <v>2457</v>
      </c>
    </row>
    <row r="69" spans="2:13">
      <c r="B69">
        <v>2515</v>
      </c>
      <c r="C69">
        <v>1271</v>
      </c>
      <c r="E69">
        <v>2350</v>
      </c>
      <c r="H69">
        <v>2185</v>
      </c>
      <c r="I69">
        <v>527</v>
      </c>
      <c r="J69">
        <v>2119</v>
      </c>
      <c r="M69">
        <v>2479</v>
      </c>
    </row>
    <row r="70" spans="2:13">
      <c r="B70">
        <v>2515</v>
      </c>
      <c r="C70">
        <v>1279</v>
      </c>
      <c r="E70">
        <v>2341</v>
      </c>
      <c r="H70">
        <v>2175</v>
      </c>
      <c r="I70">
        <v>529</v>
      </c>
      <c r="J70">
        <v>2147</v>
      </c>
      <c r="M70">
        <v>2444</v>
      </c>
    </row>
    <row r="71" spans="2:13">
      <c r="B71">
        <v>2542</v>
      </c>
      <c r="C71">
        <v>1277</v>
      </c>
      <c r="E71">
        <v>2362</v>
      </c>
      <c r="H71">
        <v>2166</v>
      </c>
      <c r="I71">
        <v>536</v>
      </c>
      <c r="J71">
        <v>2140</v>
      </c>
      <c r="M71">
        <v>2466</v>
      </c>
    </row>
    <row r="72" spans="2:13">
      <c r="B72">
        <v>2523</v>
      </c>
      <c r="C72">
        <v>1268</v>
      </c>
      <c r="E72">
        <v>2349</v>
      </c>
      <c r="H72">
        <v>2167</v>
      </c>
      <c r="I72">
        <v>531</v>
      </c>
      <c r="J72">
        <v>2133</v>
      </c>
      <c r="M72">
        <v>2455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K41" sqref="K4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47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AVERAGE(Table72[Newtonsoft])</f>
        <v>2539.8000000000002</v>
      </c>
      <c r="D38" s="2">
        <f>AVERAGE(Table72[Revenj])</f>
        <v>2531.8000000000002</v>
      </c>
      <c r="E38" s="2" t="e">
        <f>AVERAGE(Table72[fastJSON])</f>
        <v>#DIV/0!</v>
      </c>
      <c r="F38" s="2">
        <f>AVERAGE(Table72[Service Stack])</f>
        <v>2525.8000000000002</v>
      </c>
      <c r="G38" s="2" t="e">
        <f>AVERAGE(Table72[Jil])</f>
        <v>#DIV/0!</v>
      </c>
      <c r="H38" s="2" t="e">
        <f>AVERAGE(Table72[NetJSON])</f>
        <v>#DIV/0!</v>
      </c>
      <c r="I38" s="2">
        <f>AVERAGE(Table72[Jackson])</f>
        <v>223.8</v>
      </c>
      <c r="J38" s="2">
        <f>AVERAGE(Table72[DSL Platform Java])</f>
        <v>171.4</v>
      </c>
      <c r="K38" s="2">
        <f>AVERAGE(Table72[Genson])</f>
        <v>211.8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223.4</v>
      </c>
      <c r="O38" s="2"/>
      <c r="P38" s="2"/>
      <c r="Q38" s="2"/>
    </row>
    <row r="39" spans="2:17">
      <c r="B39" t="s">
        <v>0</v>
      </c>
      <c r="C39" s="2">
        <f>AVERAGE(Table71[Newtonsoft]) - C38</f>
        <v>9312.4000000000015</v>
      </c>
      <c r="D39" s="2">
        <f>AVERAGE(Table71[Revenj]) - D38</f>
        <v>3843.2</v>
      </c>
      <c r="E39" s="2" t="e">
        <f>AVERAGE(Table71[fastJSON]) - E38</f>
        <v>#DIV/0!</v>
      </c>
      <c r="F39" s="2">
        <f>AVERAGE(Table71[Service Stack]) - F38</f>
        <v>7836.5999999999995</v>
      </c>
      <c r="G39" s="2" t="e">
        <f>AVERAGE(Table71[Jil]) - G38</f>
        <v>#DIV/0!</v>
      </c>
      <c r="H39" s="2" t="e">
        <f>AVERAGE(Table71[NetJSON]) - H38</f>
        <v>#DIV/0!</v>
      </c>
      <c r="I39" s="2">
        <f>AVERAGE(Table71[Jackson]) - I38</f>
        <v>2931.2</v>
      </c>
      <c r="J39" s="2">
        <f>AVERAGE(Table71[DSL Platform Java]) - J38</f>
        <v>947.00000000000011</v>
      </c>
      <c r="K39" s="2">
        <f>AVERAGE(Table71[Genson]) - K38</f>
        <v>6792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6819.4000000000005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11686.2</v>
      </c>
      <c r="D40" s="2">
        <f t="shared" si="0"/>
        <v>5750.4000000000005</v>
      </c>
      <c r="E40" s="2" t="e">
        <f t="shared" ref="E40" si="1">E41 - E39 - E38</f>
        <v>#DIV/0!</v>
      </c>
      <c r="F40" s="2">
        <f t="shared" si="0"/>
        <v>11482.2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6485.6</v>
      </c>
      <c r="J40" s="2">
        <f t="shared" ref="J40" si="3">J41 - J39 - J38</f>
        <v>1291.5999999999999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9021.6</v>
      </c>
      <c r="O40" s="2"/>
      <c r="P40" s="2"/>
      <c r="Q40" s="2"/>
    </row>
    <row r="41" spans="2:17">
      <c r="B41" t="s">
        <v>25</v>
      </c>
      <c r="C41" s="2">
        <f>AVERAGE(Table73[Newtonsoft])</f>
        <v>23538.400000000001</v>
      </c>
      <c r="D41" s="2">
        <f>AVERAGE(Table73[Revenj])</f>
        <v>12125.4</v>
      </c>
      <c r="E41" s="2" t="e">
        <f>AVERAGE(Table73[fastJSON])</f>
        <v>#DIV/0!</v>
      </c>
      <c r="F41" s="2">
        <f>AVERAGE(Table73[Service Stack])</f>
        <v>21844.6</v>
      </c>
      <c r="G41" s="2" t="e">
        <f>AVERAGE(Table73[Jil])</f>
        <v>#DIV/0!</v>
      </c>
      <c r="H41" s="2" t="e">
        <f>AVERAGE(Table73[NetJSON])</f>
        <v>#DIV/0!</v>
      </c>
      <c r="I41" s="2">
        <f>AVERAGE(Table73[Jackson])</f>
        <v>9640.6</v>
      </c>
      <c r="J41" s="2">
        <f>AVERAGE(Table73[DSL Platform Java])</f>
        <v>2410</v>
      </c>
      <c r="K41" s="4" t="s">
        <v>53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16064.4</v>
      </c>
      <c r="O41" s="2"/>
      <c r="P41" s="2"/>
      <c r="Q41" s="2"/>
    </row>
    <row r="42" spans="2:17">
      <c r="B42" t="s">
        <v>4</v>
      </c>
      <c r="C42" s="3">
        <f>AVERAGE(Table71[Newtonsoft (size)])</f>
        <v>240923562</v>
      </c>
      <c r="D42" s="3">
        <f>AVERAGE(Table71[Revenj (size)])</f>
        <v>198474556</v>
      </c>
      <c r="E42" s="3" t="e">
        <f>AVERAGE(Table71[fastJSON (size)])</f>
        <v>#DIV/0!</v>
      </c>
      <c r="F42" s="3">
        <f>AVERAGE(Table71[Service Stack (size)])</f>
        <v>192142631</v>
      </c>
      <c r="G42" s="2" t="e">
        <f>AVERAGE(Table71[Jil (size)])</f>
        <v>#DIV/0!</v>
      </c>
      <c r="H42" s="2" t="e">
        <f>AVERAGE(Table71[NetJSON (size)])</f>
        <v>#DIV/0!</v>
      </c>
      <c r="I42" s="2">
        <f>AVERAGE(Table71[Jackson (size)])</f>
        <v>194474556</v>
      </c>
      <c r="J42" s="2">
        <f>AVERAGE(Table71[DSL Platform Java (size)])</f>
        <v>194474556</v>
      </c>
      <c r="K42" s="2">
        <f>AVERAGE(Table71[Genson (size)])</f>
        <v>226056893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DEVSQ(Table71[Newtonsoft])</f>
        <v>80702.8</v>
      </c>
      <c r="D47" s="2">
        <f>DEVSQ(Table71[Revenj])</f>
        <v>570</v>
      </c>
      <c r="E47" s="2" t="e">
        <f>DEVSQ(Table71[fastJSON])</f>
        <v>#NUM!</v>
      </c>
      <c r="F47" s="2">
        <f>DEVSQ(Table71[Service Stack])</f>
        <v>5213.2000000000007</v>
      </c>
      <c r="G47" s="2" t="e">
        <f>DEVSQ(Table71[Jil])</f>
        <v>#NUM!</v>
      </c>
      <c r="H47" s="2" t="e">
        <f>DEVSQ(Table71[NetJSON])</f>
        <v>#NUM!</v>
      </c>
      <c r="I47" s="2">
        <f>DEVSQ(Table71[Jackson])</f>
        <v>15804</v>
      </c>
      <c r="J47" s="2">
        <f>DEVSQ(Table71[DSL Platform Java])</f>
        <v>2433.1999999999998</v>
      </c>
      <c r="K47" s="2">
        <f>DEVSQ(Table71[Genson])</f>
        <v>52164.800000000003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6364.8</v>
      </c>
      <c r="O47" s="2"/>
      <c r="P47" s="2"/>
      <c r="Q47" s="2"/>
    </row>
    <row r="48" spans="2:17">
      <c r="B48" t="s">
        <v>25</v>
      </c>
      <c r="C48" s="2">
        <f>DEVSQ(Table73[Newtonsoft])</f>
        <v>11181.2</v>
      </c>
      <c r="D48" s="2">
        <f>DEVSQ(Table73[Revenj])</f>
        <v>17179.2</v>
      </c>
      <c r="E48" s="2" t="e">
        <f>DEVSQ(Table73[fastJSON])</f>
        <v>#NUM!</v>
      </c>
      <c r="F48" s="2">
        <f>DEVSQ(Table73[Service Stack])</f>
        <v>24025.199999999993</v>
      </c>
      <c r="G48" s="2" t="e">
        <f>DEVSQ(Table73[Jil])</f>
        <v>#NUM!</v>
      </c>
      <c r="H48" s="2" t="e">
        <f>DEVSQ(Table73[NetJSON])</f>
        <v>#NUM!</v>
      </c>
      <c r="I48" s="2">
        <f>DEVSQ(Table73[Jackson])</f>
        <v>3779.2000000000003</v>
      </c>
      <c r="J48" s="2">
        <f>DEVSQ(Table73[DSL Platform Java])</f>
        <v>6478</v>
      </c>
      <c r="K48" s="2">
        <f>DEVSQ(Table73[Genson])</f>
        <v>58025.19999999999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117967.2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2530</v>
      </c>
      <c r="C52">
        <v>2548</v>
      </c>
      <c r="E52">
        <v>2513</v>
      </c>
      <c r="H52">
        <v>222</v>
      </c>
      <c r="I52">
        <v>171</v>
      </c>
      <c r="J52">
        <v>210</v>
      </c>
      <c r="M52">
        <v>224</v>
      </c>
    </row>
    <row r="53" spans="2:25">
      <c r="B53">
        <v>2530</v>
      </c>
      <c r="C53">
        <v>2537</v>
      </c>
      <c r="E53">
        <v>2532</v>
      </c>
      <c r="H53">
        <v>226</v>
      </c>
      <c r="I53">
        <v>173</v>
      </c>
      <c r="J53">
        <v>216</v>
      </c>
      <c r="M53">
        <v>225</v>
      </c>
    </row>
    <row r="54" spans="2:25">
      <c r="B54">
        <v>2538</v>
      </c>
      <c r="C54">
        <v>2530</v>
      </c>
      <c r="E54">
        <v>2534</v>
      </c>
      <c r="H54">
        <v>225</v>
      </c>
      <c r="I54">
        <v>174</v>
      </c>
      <c r="J54">
        <v>213</v>
      </c>
      <c r="M54">
        <v>224</v>
      </c>
    </row>
    <row r="55" spans="2:25">
      <c r="B55">
        <v>2566</v>
      </c>
      <c r="C55">
        <v>2528</v>
      </c>
      <c r="E55">
        <v>2529</v>
      </c>
      <c r="H55">
        <v>224</v>
      </c>
      <c r="I55">
        <v>169</v>
      </c>
      <c r="J55">
        <v>210</v>
      </c>
      <c r="M55">
        <v>221</v>
      </c>
    </row>
    <row r="56" spans="2:25">
      <c r="B56">
        <v>2535</v>
      </c>
      <c r="C56">
        <v>2516</v>
      </c>
      <c r="E56">
        <v>2521</v>
      </c>
      <c r="H56">
        <v>222</v>
      </c>
      <c r="I56">
        <v>170</v>
      </c>
      <c r="J56">
        <v>210</v>
      </c>
      <c r="M56">
        <v>223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11819</v>
      </c>
      <c r="C60">
        <v>6369</v>
      </c>
      <c r="E60">
        <v>10320</v>
      </c>
      <c r="H60">
        <v>3055</v>
      </c>
      <c r="I60">
        <v>1159</v>
      </c>
      <c r="J60">
        <v>6888</v>
      </c>
      <c r="M60">
        <v>7012</v>
      </c>
      <c r="N60">
        <v>238523562</v>
      </c>
      <c r="O60">
        <v>198474556</v>
      </c>
      <c r="Q60">
        <v>192142631</v>
      </c>
      <c r="T60">
        <v>194474556</v>
      </c>
      <c r="U60">
        <v>194474556</v>
      </c>
      <c r="V60">
        <v>226056893</v>
      </c>
      <c r="Y60">
        <v>194475967</v>
      </c>
    </row>
    <row r="61" spans="2:25">
      <c r="B61">
        <v>11734</v>
      </c>
      <c r="C61">
        <v>6373</v>
      </c>
      <c r="E61">
        <v>10349</v>
      </c>
      <c r="H61">
        <v>3220</v>
      </c>
      <c r="I61">
        <v>1102</v>
      </c>
      <c r="J61">
        <v>6973</v>
      </c>
      <c r="M61">
        <v>7077</v>
      </c>
      <c r="N61">
        <v>241523562</v>
      </c>
      <c r="O61">
        <v>198474556</v>
      </c>
      <c r="Q61">
        <v>192142631</v>
      </c>
      <c r="T61">
        <v>194474556</v>
      </c>
      <c r="U61">
        <v>194474556</v>
      </c>
      <c r="V61">
        <v>226056893</v>
      </c>
      <c r="Y61">
        <v>194475967</v>
      </c>
    </row>
    <row r="62" spans="2:25">
      <c r="B62">
        <v>11837</v>
      </c>
      <c r="C62">
        <v>6370</v>
      </c>
      <c r="E62">
        <v>10418</v>
      </c>
      <c r="H62">
        <v>3194</v>
      </c>
      <c r="I62">
        <v>1115</v>
      </c>
      <c r="J62">
        <v>6914</v>
      </c>
      <c r="M62">
        <v>7081</v>
      </c>
      <c r="N62">
        <v>241523562</v>
      </c>
      <c r="O62">
        <v>198474556</v>
      </c>
      <c r="Q62">
        <v>192142631</v>
      </c>
      <c r="T62">
        <v>194474556</v>
      </c>
      <c r="U62">
        <v>194474556</v>
      </c>
      <c r="V62">
        <v>226056893</v>
      </c>
      <c r="Y62">
        <v>194475967</v>
      </c>
    </row>
    <row r="63" spans="2:25">
      <c r="B63">
        <v>12096</v>
      </c>
      <c r="C63">
        <v>6367</v>
      </c>
      <c r="E63">
        <v>10354</v>
      </c>
      <c r="H63">
        <v>3148</v>
      </c>
      <c r="I63">
        <v>1096</v>
      </c>
      <c r="J63">
        <v>7092</v>
      </c>
      <c r="M63">
        <v>6991</v>
      </c>
      <c r="N63">
        <v>241523562</v>
      </c>
      <c r="O63">
        <v>198474556</v>
      </c>
      <c r="Q63">
        <v>192142631</v>
      </c>
      <c r="T63">
        <v>194474556</v>
      </c>
      <c r="U63">
        <v>194474556</v>
      </c>
      <c r="V63">
        <v>226056893</v>
      </c>
      <c r="Y63">
        <v>194475967</v>
      </c>
    </row>
    <row r="64" spans="2:25">
      <c r="B64">
        <v>11775</v>
      </c>
      <c r="C64">
        <v>6396</v>
      </c>
      <c r="E64">
        <v>10371</v>
      </c>
      <c r="H64">
        <v>3158</v>
      </c>
      <c r="I64">
        <v>1120</v>
      </c>
      <c r="J64">
        <v>7152</v>
      </c>
      <c r="M64">
        <v>7053</v>
      </c>
      <c r="N64">
        <v>241523562</v>
      </c>
      <c r="O64">
        <v>198474556</v>
      </c>
      <c r="Q64">
        <v>192142631</v>
      </c>
      <c r="T64">
        <v>194474556</v>
      </c>
      <c r="U64">
        <v>194474556</v>
      </c>
      <c r="V64">
        <v>226056893</v>
      </c>
      <c r="Y64">
        <v>194475967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23500</v>
      </c>
      <c r="C68">
        <v>12109</v>
      </c>
      <c r="E68">
        <v>21837</v>
      </c>
      <c r="H68">
        <v>9665</v>
      </c>
      <c r="I68">
        <v>2439</v>
      </c>
      <c r="J68">
        <v>13581</v>
      </c>
      <c r="M68">
        <v>16349</v>
      </c>
    </row>
    <row r="69" spans="2:13">
      <c r="B69">
        <v>23586</v>
      </c>
      <c r="C69">
        <v>12220</v>
      </c>
      <c r="E69">
        <v>21976</v>
      </c>
      <c r="H69">
        <v>9653</v>
      </c>
      <c r="I69">
        <v>2362</v>
      </c>
      <c r="J69">
        <v>13253</v>
      </c>
      <c r="M69">
        <v>15977</v>
      </c>
    </row>
    <row r="70" spans="2:13">
      <c r="B70">
        <v>23518</v>
      </c>
      <c r="C70">
        <v>12162</v>
      </c>
      <c r="E70">
        <v>21816</v>
      </c>
      <c r="H70">
        <v>9601</v>
      </c>
      <c r="I70">
        <v>2462</v>
      </c>
      <c r="J70">
        <v>13470</v>
      </c>
      <c r="M70">
        <v>15977</v>
      </c>
    </row>
    <row r="71" spans="2:13">
      <c r="B71">
        <v>23485</v>
      </c>
      <c r="C71">
        <v>12072</v>
      </c>
      <c r="E71">
        <v>21823</v>
      </c>
      <c r="H71">
        <v>9669</v>
      </c>
      <c r="I71">
        <v>2387</v>
      </c>
      <c r="J71">
        <v>13480</v>
      </c>
      <c r="M71">
        <v>15921</v>
      </c>
    </row>
    <row r="72" spans="2:13">
      <c r="B72">
        <v>23603</v>
      </c>
      <c r="C72">
        <v>12064</v>
      </c>
      <c r="E72">
        <v>21771</v>
      </c>
      <c r="H72">
        <v>9615</v>
      </c>
      <c r="I72">
        <v>2400</v>
      </c>
      <c r="J72">
        <v>13414</v>
      </c>
      <c r="M72">
        <v>16098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48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AVERAGE(Table77[Newtonsoft])</f>
        <v>958.8</v>
      </c>
      <c r="D38" s="2">
        <f>AVERAGE(Table77[Revenj])</f>
        <v>967.6</v>
      </c>
      <c r="E38" s="2" t="e">
        <f>AVERAGE(Table77[fastJSON])</f>
        <v>#DIV/0!</v>
      </c>
      <c r="F38" s="2">
        <f>AVERAGE(Table77[Service Stack])</f>
        <v>963.2</v>
      </c>
      <c r="G38" s="2" t="e">
        <f>AVERAGE(Table77[Jil])</f>
        <v>#DIV/0!</v>
      </c>
      <c r="H38" s="2" t="e">
        <f>AVERAGE(Table77[NetJSON])</f>
        <v>#DIV/0!</v>
      </c>
      <c r="I38" s="2">
        <f>AVERAGE(Table77[Jackson])</f>
        <v>253.2</v>
      </c>
      <c r="J38" s="2">
        <f>AVERAGE(Table77[DSL Platform Java])</f>
        <v>251.6</v>
      </c>
      <c r="K38" s="2">
        <f>AVERAGE(Table77[Genson])</f>
        <v>250.6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252.4</v>
      </c>
      <c r="O38" s="2"/>
      <c r="P38" s="2"/>
      <c r="Q38" s="2"/>
    </row>
    <row r="39" spans="2:17">
      <c r="B39" t="s">
        <v>0</v>
      </c>
      <c r="C39" s="2">
        <f>AVERAGE(Table76[Newtonsoft]) - C38</f>
        <v>2635.6000000000004</v>
      </c>
      <c r="D39" s="2">
        <f>AVERAGE(Table76[Revenj]) - D38</f>
        <v>855.99999999999989</v>
      </c>
      <c r="E39" s="2" t="e">
        <f>AVERAGE(Table76[fastJSON]) - E38</f>
        <v>#DIV/0!</v>
      </c>
      <c r="F39" s="2">
        <f>AVERAGE(Table76[Service Stack]) - F38</f>
        <v>2032.3999999999999</v>
      </c>
      <c r="G39" s="2" t="e">
        <f>AVERAGE(Table76[Jil]) - G38</f>
        <v>#DIV/0!</v>
      </c>
      <c r="H39" s="2" t="e">
        <f>AVERAGE(Table76[NetJSON]) - H38</f>
        <v>#DIV/0!</v>
      </c>
      <c r="I39" s="2">
        <f>AVERAGE(Table76[Jackson]) - I38</f>
        <v>1099.8</v>
      </c>
      <c r="J39" s="2">
        <f>AVERAGE(Table76[DSL Platform Java]) - J38</f>
        <v>448</v>
      </c>
      <c r="K39" s="2">
        <f>AVERAGE(Table76[Genson]) - K38</f>
        <v>1262.6000000000001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2190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2653.9999999999991</v>
      </c>
      <c r="D40" s="2">
        <f t="shared" si="0"/>
        <v>1106.5999999999999</v>
      </c>
      <c r="E40" s="2" t="e">
        <f t="shared" ref="E40" si="1">E41 - E39 - E38</f>
        <v>#DIV/0!</v>
      </c>
      <c r="F40" s="2">
        <f t="shared" si="0"/>
        <v>3870.6000000000004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1899.9999999999998</v>
      </c>
      <c r="J40" s="2">
        <f t="shared" ref="J40" si="3">J41 - J39 - J38</f>
        <v>294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2167.2000000000003</v>
      </c>
      <c r="O40" s="2"/>
      <c r="P40" s="2"/>
      <c r="Q40" s="2"/>
    </row>
    <row r="41" spans="2:17">
      <c r="B41" t="s">
        <v>25</v>
      </c>
      <c r="C41" s="2">
        <f>AVERAGE(Table78[Newtonsoft])</f>
        <v>6248.4</v>
      </c>
      <c r="D41" s="2">
        <f>AVERAGE(Table78[Revenj])</f>
        <v>2930.2</v>
      </c>
      <c r="E41" s="2" t="e">
        <f>AVERAGE(Table78[fastJSON])</f>
        <v>#DIV/0!</v>
      </c>
      <c r="F41" s="2">
        <f>AVERAGE(Table78[Service Stack])</f>
        <v>6866.2</v>
      </c>
      <c r="G41" s="2" t="e">
        <f>AVERAGE(Table78[Jil])</f>
        <v>#DIV/0!</v>
      </c>
      <c r="H41" s="2" t="e">
        <f>AVERAGE(Table78[NetJSON])</f>
        <v>#DIV/0!</v>
      </c>
      <c r="I41" s="2">
        <f>AVERAGE(Table78[Jackson])</f>
        <v>3253</v>
      </c>
      <c r="J41" s="2">
        <f>AVERAGE(Table78[DSL Platform Java])</f>
        <v>993.6</v>
      </c>
      <c r="K41" s="4" t="s">
        <v>53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4609.6000000000004</v>
      </c>
      <c r="O41" s="2"/>
      <c r="P41" s="2"/>
      <c r="Q41" s="2"/>
    </row>
    <row r="42" spans="2:17">
      <c r="B42" t="s">
        <v>4</v>
      </c>
      <c r="C42" s="3">
        <f>AVERAGE(Table76[Newtonsoft (size)])</f>
        <v>84221352</v>
      </c>
      <c r="D42" s="3">
        <f>AVERAGE(Table76[Revenj (size)])</f>
        <v>73494967</v>
      </c>
      <c r="E42" s="3" t="e">
        <f>AVERAGE(Table76[fastJSON (size)])</f>
        <v>#DIV/0!</v>
      </c>
      <c r="F42" s="3">
        <f>AVERAGE(Table76[Service Stack (size)])</f>
        <v>79509317</v>
      </c>
      <c r="G42" s="2" t="e">
        <f>AVERAGE(Table76[Jil (size)])</f>
        <v>#DIV/0!</v>
      </c>
      <c r="H42" s="2" t="e">
        <f>AVERAGE(Table76[NetJSON (size)])</f>
        <v>#DIV/0!</v>
      </c>
      <c r="I42" s="2">
        <f>AVERAGE(Table76[Jackson (size)])</f>
        <v>72855111</v>
      </c>
      <c r="J42" s="2">
        <f>AVERAGE(Table76[DSL Platform Java (size)])</f>
        <v>72799435</v>
      </c>
      <c r="K42" s="2">
        <f>AVERAGE(Table76[Genson (size)])</f>
        <v>76301917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DEVSQ(Table76[Newtonsoft])</f>
        <v>415.20000000000005</v>
      </c>
      <c r="D47" s="2">
        <f>DEVSQ(Table76[Revenj])</f>
        <v>135.20000000000002</v>
      </c>
      <c r="E47" s="2" t="e">
        <f>DEVSQ(Table76[fastJSON])</f>
        <v>#NUM!</v>
      </c>
      <c r="F47" s="2">
        <f>DEVSQ(Table76[Service Stack])</f>
        <v>1601.2</v>
      </c>
      <c r="G47" s="2" t="e">
        <f>DEVSQ(Table76[Jil])</f>
        <v>#NUM!</v>
      </c>
      <c r="H47" s="2" t="e">
        <f>DEVSQ(Table76[NetJSON])</f>
        <v>#NUM!</v>
      </c>
      <c r="I47" s="2">
        <f>DEVSQ(Table76[Jackson])</f>
        <v>406</v>
      </c>
      <c r="J47" s="2">
        <f>DEVSQ(Table76[DSL Platform Java])</f>
        <v>59.2</v>
      </c>
      <c r="K47" s="2">
        <f>DEVSQ(Table76[Genson])</f>
        <v>166.8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7601.1999999999989</v>
      </c>
      <c r="O47" s="2"/>
      <c r="P47" s="2"/>
      <c r="Q47" s="2"/>
    </row>
    <row r="48" spans="2:17">
      <c r="B48" t="s">
        <v>25</v>
      </c>
      <c r="C48" s="2">
        <f>DEVSQ(Table78[Newtonsoft])</f>
        <v>4597.2000000000007</v>
      </c>
      <c r="D48" s="2">
        <f>DEVSQ(Table78[Revenj])</f>
        <v>26.800000000000004</v>
      </c>
      <c r="E48" s="2" t="e">
        <f>DEVSQ(Table78[fastJSON])</f>
        <v>#NUM!</v>
      </c>
      <c r="F48" s="2">
        <f>DEVSQ(Table78[Service Stack])</f>
        <v>2434.8000000000002</v>
      </c>
      <c r="G48" s="2" t="e">
        <f>DEVSQ(Table78[Jil])</f>
        <v>#NUM!</v>
      </c>
      <c r="H48" s="2" t="e">
        <f>DEVSQ(Table78[NetJSON])</f>
        <v>#NUM!</v>
      </c>
      <c r="I48" s="2">
        <f>DEVSQ(Table78[Jackson])</f>
        <v>9200</v>
      </c>
      <c r="J48" s="2">
        <f>DEVSQ(Table78[DSL Platform Java])</f>
        <v>235.2</v>
      </c>
      <c r="K48" s="2">
        <f>DEVSQ(Table78[Genson])</f>
        <v>7086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25201.200000000001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961</v>
      </c>
      <c r="C52">
        <v>965</v>
      </c>
      <c r="E52">
        <v>957</v>
      </c>
      <c r="H52">
        <v>251</v>
      </c>
      <c r="I52">
        <v>250</v>
      </c>
      <c r="J52">
        <v>251</v>
      </c>
      <c r="M52">
        <v>250</v>
      </c>
    </row>
    <row r="53" spans="2:25">
      <c r="B53">
        <v>954</v>
      </c>
      <c r="C53">
        <v>967</v>
      </c>
      <c r="E53">
        <v>963</v>
      </c>
      <c r="H53">
        <v>252</v>
      </c>
      <c r="I53">
        <v>255</v>
      </c>
      <c r="J53">
        <v>248</v>
      </c>
      <c r="M53">
        <v>252</v>
      </c>
    </row>
    <row r="54" spans="2:25">
      <c r="B54">
        <v>958</v>
      </c>
      <c r="C54">
        <v>969</v>
      </c>
      <c r="E54">
        <v>965</v>
      </c>
      <c r="H54">
        <v>254</v>
      </c>
      <c r="I54">
        <v>250</v>
      </c>
      <c r="J54">
        <v>251</v>
      </c>
      <c r="M54">
        <v>252</v>
      </c>
    </row>
    <row r="55" spans="2:25">
      <c r="B55">
        <v>960</v>
      </c>
      <c r="C55">
        <v>974</v>
      </c>
      <c r="E55">
        <v>966</v>
      </c>
      <c r="H55">
        <v>252</v>
      </c>
      <c r="I55">
        <v>251</v>
      </c>
      <c r="J55">
        <v>250</v>
      </c>
      <c r="M55">
        <v>256</v>
      </c>
    </row>
    <row r="56" spans="2:25">
      <c r="B56">
        <v>961</v>
      </c>
      <c r="C56">
        <v>963</v>
      </c>
      <c r="E56">
        <v>965</v>
      </c>
      <c r="H56">
        <v>257</v>
      </c>
      <c r="I56">
        <v>252</v>
      </c>
      <c r="J56">
        <v>253</v>
      </c>
      <c r="M56">
        <v>252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3589</v>
      </c>
      <c r="C60">
        <v>1829</v>
      </c>
      <c r="E60">
        <v>2998</v>
      </c>
      <c r="H60">
        <v>1349</v>
      </c>
      <c r="I60">
        <v>701</v>
      </c>
      <c r="J60">
        <v>1504</v>
      </c>
      <c r="M60">
        <v>2439</v>
      </c>
      <c r="N60">
        <v>84221352</v>
      </c>
      <c r="O60">
        <v>73494967</v>
      </c>
      <c r="Q60">
        <v>79509317</v>
      </c>
      <c r="T60">
        <v>72855111</v>
      </c>
      <c r="U60">
        <v>72796487</v>
      </c>
      <c r="V60">
        <v>76301917</v>
      </c>
      <c r="Y60">
        <v>73117617</v>
      </c>
    </row>
    <row r="61" spans="2:25">
      <c r="B61">
        <v>3605</v>
      </c>
      <c r="C61">
        <v>1815</v>
      </c>
      <c r="E61">
        <v>3020</v>
      </c>
      <c r="H61">
        <v>1352</v>
      </c>
      <c r="I61">
        <v>705</v>
      </c>
      <c r="J61">
        <v>1515</v>
      </c>
      <c r="M61">
        <v>2515</v>
      </c>
      <c r="N61">
        <v>84221352</v>
      </c>
      <c r="O61">
        <v>73494967</v>
      </c>
      <c r="Q61">
        <v>79509317</v>
      </c>
      <c r="T61">
        <v>72855111</v>
      </c>
      <c r="U61">
        <v>72798247</v>
      </c>
      <c r="V61">
        <v>76301917</v>
      </c>
      <c r="Y61">
        <v>73117617</v>
      </c>
    </row>
    <row r="62" spans="2:25">
      <c r="B62">
        <v>3581</v>
      </c>
      <c r="C62">
        <v>1829</v>
      </c>
      <c r="E62">
        <v>2967</v>
      </c>
      <c r="H62">
        <v>1339</v>
      </c>
      <c r="I62">
        <v>695</v>
      </c>
      <c r="J62">
        <v>1521</v>
      </c>
      <c r="M62">
        <v>2420</v>
      </c>
      <c r="N62">
        <v>84221352</v>
      </c>
      <c r="O62">
        <v>73494967</v>
      </c>
      <c r="Q62">
        <v>79509317</v>
      </c>
      <c r="T62">
        <v>72855111</v>
      </c>
      <c r="U62">
        <v>72800887</v>
      </c>
      <c r="V62">
        <v>76301917</v>
      </c>
      <c r="Y62">
        <v>73117617</v>
      </c>
    </row>
    <row r="63" spans="2:25">
      <c r="B63">
        <v>3604</v>
      </c>
      <c r="C63">
        <v>1822</v>
      </c>
      <c r="E63">
        <v>2987</v>
      </c>
      <c r="H63">
        <v>1365</v>
      </c>
      <c r="I63">
        <v>697</v>
      </c>
      <c r="J63">
        <v>1510</v>
      </c>
      <c r="M63">
        <v>2400</v>
      </c>
      <c r="N63">
        <v>84221352</v>
      </c>
      <c r="O63">
        <v>73494967</v>
      </c>
      <c r="Q63">
        <v>79509317</v>
      </c>
      <c r="T63">
        <v>72855111</v>
      </c>
      <c r="U63">
        <v>72801547</v>
      </c>
      <c r="V63">
        <v>76301917</v>
      </c>
      <c r="Y63">
        <v>73117617</v>
      </c>
    </row>
    <row r="64" spans="2:25">
      <c r="B64">
        <v>3593</v>
      </c>
      <c r="C64">
        <v>1823</v>
      </c>
      <c r="E64">
        <v>3006</v>
      </c>
      <c r="H64">
        <v>1360</v>
      </c>
      <c r="I64">
        <v>700</v>
      </c>
      <c r="J64">
        <v>1516</v>
      </c>
      <c r="M64">
        <v>2438</v>
      </c>
      <c r="N64">
        <v>84221352</v>
      </c>
      <c r="O64">
        <v>73494967</v>
      </c>
      <c r="Q64">
        <v>79509317</v>
      </c>
      <c r="T64">
        <v>72855111</v>
      </c>
      <c r="U64">
        <v>72800007</v>
      </c>
      <c r="V64">
        <v>76301917</v>
      </c>
      <c r="Y64">
        <v>73117617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6219</v>
      </c>
      <c r="C68">
        <v>2930</v>
      </c>
      <c r="E68">
        <v>6837</v>
      </c>
      <c r="H68">
        <v>3323</v>
      </c>
      <c r="I68">
        <v>1004</v>
      </c>
      <c r="J68">
        <v>2359</v>
      </c>
      <c r="M68">
        <v>4565</v>
      </c>
    </row>
    <row r="69" spans="2:13">
      <c r="B69">
        <v>6222</v>
      </c>
      <c r="C69">
        <v>2934</v>
      </c>
      <c r="E69">
        <v>6853</v>
      </c>
      <c r="H69">
        <v>3239</v>
      </c>
      <c r="I69">
        <v>992</v>
      </c>
      <c r="J69">
        <v>2266</v>
      </c>
      <c r="M69">
        <v>4678</v>
      </c>
    </row>
    <row r="70" spans="2:13">
      <c r="B70">
        <v>6300</v>
      </c>
      <c r="C70">
        <v>2931</v>
      </c>
      <c r="E70">
        <v>6897</v>
      </c>
      <c r="H70">
        <v>3275</v>
      </c>
      <c r="I70">
        <v>998</v>
      </c>
      <c r="J70">
        <v>2273</v>
      </c>
      <c r="M70">
        <v>4610</v>
      </c>
    </row>
    <row r="71" spans="2:13">
      <c r="B71">
        <v>6237</v>
      </c>
      <c r="C71">
        <v>2929</v>
      </c>
      <c r="E71">
        <v>6858</v>
      </c>
      <c r="H71">
        <v>3197</v>
      </c>
      <c r="I71">
        <v>984</v>
      </c>
      <c r="J71">
        <v>2254</v>
      </c>
      <c r="M71">
        <v>4693</v>
      </c>
    </row>
    <row r="72" spans="2:13">
      <c r="B72">
        <v>6264</v>
      </c>
      <c r="C72">
        <v>2927</v>
      </c>
      <c r="E72">
        <v>6886</v>
      </c>
      <c r="H72">
        <v>3231</v>
      </c>
      <c r="I72">
        <v>990</v>
      </c>
      <c r="J72">
        <v>2273</v>
      </c>
      <c r="M72">
        <v>4502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K41" sqref="K4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49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AVERAGE(Table82[Newtonsoft])</f>
        <v>9677.2000000000007</v>
      </c>
      <c r="D38" s="2">
        <f>AVERAGE(Table82[Revenj])</f>
        <v>9805.6</v>
      </c>
      <c r="E38" s="2" t="e">
        <f>AVERAGE(Table82[fastJSON])</f>
        <v>#DIV/0!</v>
      </c>
      <c r="F38" s="2">
        <f>AVERAGE(Table82[Service Stack])</f>
        <v>9606.6</v>
      </c>
      <c r="G38" s="2" t="e">
        <f>AVERAGE(Table82[Jil])</f>
        <v>#DIV/0!</v>
      </c>
      <c r="H38" s="2" t="e">
        <f>AVERAGE(Table82[NetJSON])</f>
        <v>#DIV/0!</v>
      </c>
      <c r="I38" s="2">
        <f>AVERAGE(Table82[Jackson])</f>
        <v>1279</v>
      </c>
      <c r="J38" s="2">
        <f>AVERAGE(Table82[DSL Platform Java])</f>
        <v>1286.2</v>
      </c>
      <c r="K38" s="2">
        <f>AVERAGE(Table82[Genson])</f>
        <v>1287.5999999999999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1287.8</v>
      </c>
      <c r="O38" s="2"/>
      <c r="P38" s="2"/>
      <c r="Q38" s="2"/>
    </row>
    <row r="39" spans="2:17">
      <c r="B39" t="s">
        <v>0</v>
      </c>
      <c r="C39" s="2">
        <f>AVERAGE(Table81[Newtonsoft]) - C38</f>
        <v>26047.200000000001</v>
      </c>
      <c r="D39" s="2">
        <f>AVERAGE(Table81[Revenj]) - D38</f>
        <v>8320.1999999999989</v>
      </c>
      <c r="E39" s="2" t="e">
        <f>AVERAGE(Table81[fastJSON]) - E38</f>
        <v>#DIV/0!</v>
      </c>
      <c r="F39" s="2">
        <f>AVERAGE(Table81[Service Stack]) - F38</f>
        <v>19934.800000000003</v>
      </c>
      <c r="G39" s="2" t="e">
        <f>AVERAGE(Table81[Jil]) - G38</f>
        <v>#DIV/0!</v>
      </c>
      <c r="H39" s="2" t="e">
        <f>AVERAGE(Table81[NetJSON]) - H38</f>
        <v>#DIV/0!</v>
      </c>
      <c r="I39" s="2">
        <f>AVERAGE(Table81[Jackson]) - I38</f>
        <v>7891.7999999999993</v>
      </c>
      <c r="J39" s="2">
        <f>AVERAGE(Table81[DSL Platform Java]) - J38</f>
        <v>2247</v>
      </c>
      <c r="K39" s="2">
        <f>AVERAGE(Table81[Genson]) - K38</f>
        <v>9664.6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17614.2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26452.199999999993</v>
      </c>
      <c r="D40" s="2">
        <f t="shared" si="0"/>
        <v>11026.800000000001</v>
      </c>
      <c r="E40" s="2" t="e">
        <f t="shared" ref="E40" si="1">E41 - E39 - E38</f>
        <v>#DIV/0!</v>
      </c>
      <c r="F40" s="2">
        <f t="shared" si="0"/>
        <v>38843.799999999996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16066.600000000002</v>
      </c>
      <c r="J40" s="2">
        <f t="shared" ref="J40" si="3">J41 - J39 - J38</f>
        <v>2572.1999999999998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21369.599999999999</v>
      </c>
      <c r="O40" s="2"/>
      <c r="P40" s="2"/>
      <c r="Q40" s="2"/>
    </row>
    <row r="41" spans="2:17">
      <c r="B41" t="s">
        <v>25</v>
      </c>
      <c r="C41" s="2">
        <f>AVERAGE(Table83[Newtonsoft])</f>
        <v>62176.6</v>
      </c>
      <c r="D41" s="2">
        <f>AVERAGE(Table83[Revenj])</f>
        <v>29152.6</v>
      </c>
      <c r="E41" s="2" t="e">
        <f>AVERAGE(Table83[fastJSON])</f>
        <v>#DIV/0!</v>
      </c>
      <c r="F41" s="2">
        <f>AVERAGE(Table83[Service Stack])</f>
        <v>68385.2</v>
      </c>
      <c r="G41" s="2" t="e">
        <f>AVERAGE(Table83[Jil])</f>
        <v>#DIV/0!</v>
      </c>
      <c r="H41" s="2" t="e">
        <f>AVERAGE(Table83[NetJSON])</f>
        <v>#DIV/0!</v>
      </c>
      <c r="I41" s="2">
        <f>AVERAGE(Table83[Jackson])</f>
        <v>25237.4</v>
      </c>
      <c r="J41" s="2">
        <f>AVERAGE(Table83[DSL Platform Java])</f>
        <v>6105.4</v>
      </c>
      <c r="K41" s="4" t="s">
        <v>53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40271.599999999999</v>
      </c>
      <c r="O41" s="2"/>
      <c r="P41" s="2"/>
      <c r="Q41" s="2"/>
    </row>
    <row r="42" spans="2:17">
      <c r="B42" t="s">
        <v>4</v>
      </c>
      <c r="C42" s="3">
        <f>AVERAGE(Table81[Newtonsoft (size)])</f>
        <v>852257852</v>
      </c>
      <c r="D42" s="3">
        <f>AVERAGE(Table81[Revenj (size)])</f>
        <v>745341367</v>
      </c>
      <c r="E42" s="3" t="e">
        <f>AVERAGE(Table81[fastJSON (size)])</f>
        <v>#DIV/0!</v>
      </c>
      <c r="F42" s="3">
        <f>AVERAGE(Table81[Service Stack (size)])</f>
        <v>805529997</v>
      </c>
      <c r="G42" s="2" t="e">
        <f>AVERAGE(Table81[Jil (size)])</f>
        <v>#DIV/0!</v>
      </c>
      <c r="H42" s="2" t="e">
        <f>AVERAGE(Table81[NetJSON (size)])</f>
        <v>#DIV/0!</v>
      </c>
      <c r="I42" s="2">
        <f>AVERAGE(Table81[Jackson (size)])</f>
        <v>738942711</v>
      </c>
      <c r="J42" s="2">
        <f>AVERAGE(Table81[DSL Platform Java (size)])</f>
        <v>738360967</v>
      </c>
      <c r="K42" s="2">
        <f>AVERAGE(Table81[Genson (size)])</f>
        <v>773410117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DEVSQ(Table81[Newtonsoft])</f>
        <v>272141.19999999995</v>
      </c>
      <c r="D47" s="2">
        <f>DEVSQ(Table81[Revenj])</f>
        <v>5502.8</v>
      </c>
      <c r="E47" s="2" t="e">
        <f>DEVSQ(Table81[fastJSON])</f>
        <v>#NUM!</v>
      </c>
      <c r="F47" s="2">
        <f>DEVSQ(Table81[Service Stack])</f>
        <v>22485.200000000001</v>
      </c>
      <c r="G47" s="2" t="e">
        <f>DEVSQ(Table81[Jil])</f>
        <v>#NUM!</v>
      </c>
      <c r="H47" s="2" t="e">
        <f>DEVSQ(Table81[NetJSON])</f>
        <v>#NUM!</v>
      </c>
      <c r="I47" s="2">
        <f>DEVSQ(Table81[Jackson])</f>
        <v>29588.800000000003</v>
      </c>
      <c r="J47" s="2">
        <f>DEVSQ(Table81[DSL Platform Java])</f>
        <v>3172.8</v>
      </c>
      <c r="K47" s="2">
        <f>DEVSQ(Table81[Genson])</f>
        <v>107608.8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261004</v>
      </c>
      <c r="O47" s="2"/>
      <c r="P47" s="2"/>
      <c r="Q47" s="2"/>
    </row>
    <row r="48" spans="2:17">
      <c r="B48" t="s">
        <v>25</v>
      </c>
      <c r="C48" s="2">
        <f>DEVSQ(Table83[Newtonsoft])</f>
        <v>62673.2</v>
      </c>
      <c r="D48" s="2">
        <f>DEVSQ(Table83[Revenj])</f>
        <v>16419.2</v>
      </c>
      <c r="E48" s="2" t="e">
        <f>DEVSQ(Table83[fastJSON])</f>
        <v>#NUM!</v>
      </c>
      <c r="F48" s="2">
        <f>DEVSQ(Table83[Service Stack])</f>
        <v>48912.799999999996</v>
      </c>
      <c r="G48" s="2" t="e">
        <f>DEVSQ(Table83[Jil])</f>
        <v>#NUM!</v>
      </c>
      <c r="H48" s="2" t="e">
        <f>DEVSQ(Table83[NetJSON])</f>
        <v>#NUM!</v>
      </c>
      <c r="I48" s="2">
        <f>DEVSQ(Table83[Jackson])</f>
        <v>891245.2</v>
      </c>
      <c r="J48" s="2">
        <f>DEVSQ(Table83[DSL Platform Java])</f>
        <v>5167.2000000000007</v>
      </c>
      <c r="K48" s="2">
        <f>DEVSQ(Table83[Genson])</f>
        <v>38042.800000000003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1850933.2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9509</v>
      </c>
      <c r="C52">
        <v>9637</v>
      </c>
      <c r="E52">
        <v>9606</v>
      </c>
      <c r="H52">
        <v>1280</v>
      </c>
      <c r="I52">
        <v>1290</v>
      </c>
      <c r="J52">
        <v>1278</v>
      </c>
      <c r="M52">
        <v>1292</v>
      </c>
    </row>
    <row r="53" spans="2:25">
      <c r="B53">
        <v>9623</v>
      </c>
      <c r="C53">
        <v>9650</v>
      </c>
      <c r="E53">
        <v>9669</v>
      </c>
      <c r="H53">
        <v>1274</v>
      </c>
      <c r="I53">
        <v>1273</v>
      </c>
      <c r="J53">
        <v>1305</v>
      </c>
      <c r="M53">
        <v>1275</v>
      </c>
    </row>
    <row r="54" spans="2:25">
      <c r="B54">
        <v>9782</v>
      </c>
      <c r="C54">
        <v>10387</v>
      </c>
      <c r="E54">
        <v>9562</v>
      </c>
      <c r="H54">
        <v>1274</v>
      </c>
      <c r="I54">
        <v>1279</v>
      </c>
      <c r="J54">
        <v>1276</v>
      </c>
      <c r="M54">
        <v>1296</v>
      </c>
    </row>
    <row r="55" spans="2:25">
      <c r="B55">
        <v>9685</v>
      </c>
      <c r="C55">
        <v>9639</v>
      </c>
      <c r="E55">
        <v>9638</v>
      </c>
      <c r="H55">
        <v>1276</v>
      </c>
      <c r="I55">
        <v>1277</v>
      </c>
      <c r="J55">
        <v>1290</v>
      </c>
      <c r="M55">
        <v>1282</v>
      </c>
    </row>
    <row r="56" spans="2:25">
      <c r="B56">
        <v>9787</v>
      </c>
      <c r="C56">
        <v>9715</v>
      </c>
      <c r="E56">
        <v>9558</v>
      </c>
      <c r="H56">
        <v>1291</v>
      </c>
      <c r="I56">
        <v>1312</v>
      </c>
      <c r="J56">
        <v>1289</v>
      </c>
      <c r="M56">
        <v>1294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35703</v>
      </c>
      <c r="C60">
        <v>18147</v>
      </c>
      <c r="E60">
        <v>29662</v>
      </c>
      <c r="H60">
        <v>9108</v>
      </c>
      <c r="I60">
        <v>3509</v>
      </c>
      <c r="J60">
        <v>10997</v>
      </c>
      <c r="M60">
        <v>18779</v>
      </c>
      <c r="N60">
        <v>852604452</v>
      </c>
      <c r="O60">
        <v>745341367</v>
      </c>
      <c r="Q60">
        <v>805529997</v>
      </c>
      <c r="T60">
        <v>738942711</v>
      </c>
      <c r="U60">
        <v>738345567</v>
      </c>
      <c r="V60">
        <v>773410117</v>
      </c>
      <c r="Y60">
        <v>741567117</v>
      </c>
    </row>
    <row r="61" spans="2:25">
      <c r="B61">
        <v>36173</v>
      </c>
      <c r="C61">
        <v>18085</v>
      </c>
      <c r="E61">
        <v>29549</v>
      </c>
      <c r="H61">
        <v>9159</v>
      </c>
      <c r="I61">
        <v>3559</v>
      </c>
      <c r="J61">
        <v>10924</v>
      </c>
      <c r="M61">
        <v>19087</v>
      </c>
      <c r="N61">
        <v>852604452</v>
      </c>
      <c r="O61">
        <v>745341367</v>
      </c>
      <c r="Q61">
        <v>805529997</v>
      </c>
      <c r="T61">
        <v>738942711</v>
      </c>
      <c r="U61">
        <v>738369767</v>
      </c>
      <c r="V61">
        <v>773410117</v>
      </c>
      <c r="Y61">
        <v>741567117</v>
      </c>
    </row>
    <row r="62" spans="2:25">
      <c r="B62">
        <v>35502</v>
      </c>
      <c r="C62">
        <v>18088</v>
      </c>
      <c r="E62">
        <v>29527</v>
      </c>
      <c r="H62">
        <v>9181</v>
      </c>
      <c r="I62">
        <v>3553</v>
      </c>
      <c r="J62">
        <v>11152</v>
      </c>
      <c r="M62">
        <v>19078</v>
      </c>
      <c r="N62">
        <v>850871452</v>
      </c>
      <c r="O62">
        <v>745341367</v>
      </c>
      <c r="Q62">
        <v>805529997</v>
      </c>
      <c r="T62">
        <v>738942711</v>
      </c>
      <c r="U62">
        <v>738391767</v>
      </c>
      <c r="V62">
        <v>773410117</v>
      </c>
      <c r="Y62">
        <v>741567117</v>
      </c>
    </row>
    <row r="63" spans="2:25">
      <c r="B63">
        <v>35620</v>
      </c>
      <c r="C63">
        <v>18142</v>
      </c>
      <c r="E63">
        <v>29460</v>
      </c>
      <c r="H63">
        <v>9311</v>
      </c>
      <c r="I63">
        <v>3548</v>
      </c>
      <c r="J63">
        <v>10988</v>
      </c>
      <c r="M63">
        <v>19059</v>
      </c>
      <c r="N63">
        <v>852604452</v>
      </c>
      <c r="O63">
        <v>745341367</v>
      </c>
      <c r="Q63">
        <v>805529997</v>
      </c>
      <c r="T63">
        <v>738942711</v>
      </c>
      <c r="U63">
        <v>738349967</v>
      </c>
      <c r="V63">
        <v>773410117</v>
      </c>
      <c r="Y63">
        <v>741567117</v>
      </c>
    </row>
    <row r="64" spans="2:25">
      <c r="B64">
        <v>35624</v>
      </c>
      <c r="C64">
        <v>18167</v>
      </c>
      <c r="E64">
        <v>29509</v>
      </c>
      <c r="H64">
        <v>9095</v>
      </c>
      <c r="I64">
        <v>3497</v>
      </c>
      <c r="J64">
        <v>10700</v>
      </c>
      <c r="M64">
        <v>18507</v>
      </c>
      <c r="N64">
        <v>852604452</v>
      </c>
      <c r="O64">
        <v>745341367</v>
      </c>
      <c r="Q64">
        <v>805529997</v>
      </c>
      <c r="T64">
        <v>738942711</v>
      </c>
      <c r="U64">
        <v>738347767</v>
      </c>
      <c r="V64">
        <v>773410117</v>
      </c>
      <c r="Y64">
        <v>741567117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62231</v>
      </c>
      <c r="C68">
        <v>29208</v>
      </c>
      <c r="E68">
        <v>68519</v>
      </c>
      <c r="H68">
        <v>25327</v>
      </c>
      <c r="I68">
        <v>6058</v>
      </c>
      <c r="J68">
        <v>16588</v>
      </c>
      <c r="M68">
        <v>40896</v>
      </c>
    </row>
    <row r="69" spans="2:13">
      <c r="B69">
        <v>62087</v>
      </c>
      <c r="C69">
        <v>29046</v>
      </c>
      <c r="E69">
        <v>68402</v>
      </c>
      <c r="H69">
        <v>25944</v>
      </c>
      <c r="I69">
        <v>6110</v>
      </c>
      <c r="J69">
        <v>16801</v>
      </c>
      <c r="M69">
        <v>40551</v>
      </c>
    </row>
    <row r="70" spans="2:13">
      <c r="B70">
        <v>62253</v>
      </c>
      <c r="C70">
        <v>29145</v>
      </c>
      <c r="E70">
        <v>68367</v>
      </c>
      <c r="H70">
        <v>24957</v>
      </c>
      <c r="I70">
        <v>6094</v>
      </c>
      <c r="J70">
        <v>16653</v>
      </c>
      <c r="M70">
        <v>39481</v>
      </c>
    </row>
    <row r="71" spans="2:13">
      <c r="B71">
        <v>62306</v>
      </c>
      <c r="C71">
        <v>29192</v>
      </c>
      <c r="E71">
        <v>68215</v>
      </c>
      <c r="H71">
        <v>25273</v>
      </c>
      <c r="I71">
        <v>6158</v>
      </c>
      <c r="J71">
        <v>16556</v>
      </c>
      <c r="M71">
        <v>39602</v>
      </c>
    </row>
    <row r="72" spans="2:13">
      <c r="B72">
        <v>62006</v>
      </c>
      <c r="C72">
        <v>29172</v>
      </c>
      <c r="E72">
        <v>68423</v>
      </c>
      <c r="H72">
        <v>24686</v>
      </c>
      <c r="I72">
        <v>6107</v>
      </c>
      <c r="J72">
        <v>16706</v>
      </c>
      <c r="M72">
        <v>40828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K41" sqref="K4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50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AVERAGE(Table87[Newtonsoft])</f>
        <v>95309.6</v>
      </c>
      <c r="D38" s="2">
        <f>AVERAGE(Table87[Revenj])</f>
        <v>96742.2</v>
      </c>
      <c r="E38" s="2" t="e">
        <f>AVERAGE(Table87[fastJSON])</f>
        <v>#DIV/0!</v>
      </c>
      <c r="F38" s="2">
        <f>AVERAGE(Table87[Service Stack])</f>
        <v>95493.8</v>
      </c>
      <c r="G38" s="2" t="e">
        <f>AVERAGE(Table87[Jil])</f>
        <v>#DIV/0!</v>
      </c>
      <c r="H38" s="2" t="e">
        <f>AVERAGE(Table87[NetJSON])</f>
        <v>#DIV/0!</v>
      </c>
      <c r="I38" s="2">
        <f>AVERAGE(Table87[Jackson])</f>
        <v>11543.8</v>
      </c>
      <c r="J38" s="2">
        <f>AVERAGE(Table87[DSL Platform Java])</f>
        <v>11274.4</v>
      </c>
      <c r="K38" s="2">
        <f>AVERAGE(Table87[Genson])</f>
        <v>11279.4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11272.2</v>
      </c>
      <c r="O38" s="2"/>
      <c r="P38" s="2"/>
      <c r="Q38" s="2"/>
    </row>
    <row r="39" spans="2:17">
      <c r="B39" t="s">
        <v>0</v>
      </c>
      <c r="C39" s="2">
        <f>AVERAGE(Table86[Newtonsoft]) - C38</f>
        <v>271733.59999999998</v>
      </c>
      <c r="D39" s="2">
        <f>AVERAGE(Table86[Revenj]) - D38</f>
        <v>85048.599999999991</v>
      </c>
      <c r="E39" s="2" t="e">
        <f>AVERAGE(Table86[fastJSON]) - E38</f>
        <v>#DIV/0!</v>
      </c>
      <c r="F39" s="2">
        <f>AVERAGE(Table86[Service Stack]) - F38</f>
        <v>203636.8</v>
      </c>
      <c r="G39" s="2" t="e">
        <f>AVERAGE(Table86[Jil]) - G38</f>
        <v>#DIV/0!</v>
      </c>
      <c r="H39" s="2" t="e">
        <f>AVERAGE(Table86[NetJSON]) - H38</f>
        <v>#DIV/0!</v>
      </c>
      <c r="I39" s="2">
        <f>AVERAGE(Table86[Jackson]) - I38</f>
        <v>76735.8</v>
      </c>
      <c r="J39" s="2">
        <f>AVERAGE(Table86[DSL Platform Java]) - J38</f>
        <v>20908</v>
      </c>
      <c r="K39" s="2">
        <f>AVERAGE(Table86[Genson]) - K38</f>
        <v>93016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175657.4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287687.80000000005</v>
      </c>
      <c r="D40" s="2">
        <f t="shared" si="0"/>
        <v>112689.60000000005</v>
      </c>
      <c r="E40" s="2" t="e">
        <f t="shared" ref="E40" si="1">E41 - E39 - E38</f>
        <v>#DIV/0!</v>
      </c>
      <c r="F40" s="2">
        <f t="shared" si="0"/>
        <v>443521.00000000006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159106</v>
      </c>
      <c r="J40" s="2">
        <f t="shared" ref="J40" si="3">J41 - J39 - J38</f>
        <v>26615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216009.19999999998</v>
      </c>
      <c r="O40" s="2"/>
      <c r="P40" s="2"/>
      <c r="Q40" s="2"/>
    </row>
    <row r="41" spans="2:17">
      <c r="B41" t="s">
        <v>25</v>
      </c>
      <c r="C41" s="2">
        <f>AVERAGE(Table88[Newtonsoft])</f>
        <v>654731</v>
      </c>
      <c r="D41" s="2">
        <f>AVERAGE(Table88[Revenj])</f>
        <v>294480.40000000002</v>
      </c>
      <c r="E41" s="2" t="e">
        <f>AVERAGE(Table88[fastJSON])</f>
        <v>#DIV/0!</v>
      </c>
      <c r="F41" s="2">
        <f>AVERAGE(Table88[Service Stack])</f>
        <v>742651.6</v>
      </c>
      <c r="G41" s="2" t="e">
        <f>AVERAGE(Table88[Jil])</f>
        <v>#DIV/0!</v>
      </c>
      <c r="H41" s="2" t="e">
        <f>AVERAGE(Table88[NetJSON])</f>
        <v>#DIV/0!</v>
      </c>
      <c r="I41" s="2">
        <f>AVERAGE(Table88[Jackson])</f>
        <v>247385.60000000001</v>
      </c>
      <c r="J41" s="2">
        <f>AVERAGE(Table88[DSL Platform Java])</f>
        <v>58797.4</v>
      </c>
      <c r="K41" s="4" t="s">
        <v>53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402938.8</v>
      </c>
      <c r="O41" s="2"/>
      <c r="P41" s="2"/>
      <c r="Q41" s="2"/>
    </row>
    <row r="42" spans="2:17">
      <c r="B42" t="s">
        <v>4</v>
      </c>
      <c r="C42" s="3">
        <f>AVERAGE(Table86[Newtonsoft (size)])</f>
        <v>8630035452</v>
      </c>
      <c r="D42" s="3">
        <f>AVERAGE(Table86[Revenj (size)])</f>
        <v>7557405367</v>
      </c>
      <c r="E42" s="3" t="e">
        <f>AVERAGE(Table86[fastJSON (size)])</f>
        <v>#DIV/0!</v>
      </c>
      <c r="F42" s="3">
        <f>AVERAGE(Table86[Service Stack (size)])</f>
        <v>8204327997</v>
      </c>
      <c r="G42" s="2" t="e">
        <f>AVERAGE(Table86[Jil (size)])</f>
        <v>#DIV/0!</v>
      </c>
      <c r="H42" s="2" t="e">
        <f>AVERAGE(Table86[NetJSON (size)])</f>
        <v>#DIV/0!</v>
      </c>
      <c r="I42" s="2">
        <f>AVERAGE(Table86[Jackson (size)])</f>
        <v>7493418711</v>
      </c>
      <c r="J42" s="2">
        <f>AVERAGE(Table86[DSL Platform Java (size)])</f>
        <v>7487592567</v>
      </c>
      <c r="K42" s="2">
        <f>AVERAGE(Table86[Genson (size)])</f>
        <v>7838092117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DEVSQ(Table86[Newtonsoft])</f>
        <v>30173230.800000001</v>
      </c>
      <c r="D47" s="2">
        <f>DEVSQ(Table86[Revenj])</f>
        <v>612644.79999999993</v>
      </c>
      <c r="E47" s="2" t="e">
        <f>DEVSQ(Table86[fastJSON])</f>
        <v>#NUM!</v>
      </c>
      <c r="F47" s="2">
        <f>DEVSQ(Table86[Service Stack])</f>
        <v>695109.20000000007</v>
      </c>
      <c r="G47" s="2" t="e">
        <f>DEVSQ(Table86[Jil])</f>
        <v>#NUM!</v>
      </c>
      <c r="H47" s="2" t="e">
        <f>DEVSQ(Table86[NetJSON])</f>
        <v>#NUM!</v>
      </c>
      <c r="I47" s="2">
        <f>DEVSQ(Table86[Jackson])</f>
        <v>13095771.199999999</v>
      </c>
      <c r="J47" s="2">
        <f>DEVSQ(Table86[DSL Platform Java])</f>
        <v>47985.2</v>
      </c>
      <c r="K47" s="2">
        <f>DEVSQ(Table86[Genson])</f>
        <v>4291235.2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10645101.199999999</v>
      </c>
      <c r="O47" s="2"/>
      <c r="P47" s="2"/>
      <c r="Q47" s="2"/>
    </row>
    <row r="48" spans="2:17">
      <c r="B48" t="s">
        <v>25</v>
      </c>
      <c r="C48" s="2">
        <f>DEVSQ(Table88[Newtonsoft])</f>
        <v>34677840</v>
      </c>
      <c r="D48" s="2">
        <f>DEVSQ(Table88[Revenj])</f>
        <v>7202391.1999999993</v>
      </c>
      <c r="E48" s="2" t="e">
        <f>DEVSQ(Table88[fastJSON])</f>
        <v>#NUM!</v>
      </c>
      <c r="F48" s="2">
        <f>DEVSQ(Table88[Service Stack])</f>
        <v>13454189.200000001</v>
      </c>
      <c r="G48" s="2" t="e">
        <f>DEVSQ(Table88[Jil])</f>
        <v>#NUM!</v>
      </c>
      <c r="H48" s="2" t="e">
        <f>DEVSQ(Table88[NetJSON])</f>
        <v>#NUM!</v>
      </c>
      <c r="I48" s="2">
        <f>DEVSQ(Table88[Jackson])</f>
        <v>28294709.199999999</v>
      </c>
      <c r="J48" s="2">
        <f>DEVSQ(Table88[DSL Platform Java])</f>
        <v>805717.2</v>
      </c>
      <c r="K48" s="2">
        <f>DEVSQ(Table88[Genson])</f>
        <v>2085072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77359170.799999997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95044</v>
      </c>
      <c r="C52">
        <v>97106</v>
      </c>
      <c r="E52">
        <v>94983</v>
      </c>
      <c r="H52">
        <v>11703</v>
      </c>
      <c r="I52">
        <v>11272</v>
      </c>
      <c r="J52">
        <v>11175</v>
      </c>
      <c r="M52">
        <v>11253</v>
      </c>
    </row>
    <row r="53" spans="2:25">
      <c r="B53">
        <v>95703</v>
      </c>
      <c r="C53">
        <v>96895</v>
      </c>
      <c r="E53">
        <v>95662</v>
      </c>
      <c r="H53">
        <v>12022</v>
      </c>
      <c r="I53">
        <v>11422</v>
      </c>
      <c r="J53">
        <v>11398</v>
      </c>
      <c r="M53">
        <v>11432</v>
      </c>
    </row>
    <row r="54" spans="2:25">
      <c r="B54">
        <v>95180</v>
      </c>
      <c r="C54">
        <v>96637</v>
      </c>
      <c r="E54">
        <v>95973</v>
      </c>
      <c r="H54">
        <v>11518</v>
      </c>
      <c r="I54">
        <v>11393</v>
      </c>
      <c r="J54">
        <v>11289</v>
      </c>
      <c r="M54">
        <v>11354</v>
      </c>
    </row>
    <row r="55" spans="2:25">
      <c r="B55">
        <v>95301</v>
      </c>
      <c r="C55">
        <v>96472</v>
      </c>
      <c r="E55">
        <v>95750</v>
      </c>
      <c r="H55">
        <v>11510</v>
      </c>
      <c r="I55">
        <v>11173</v>
      </c>
      <c r="J55">
        <v>11300</v>
      </c>
      <c r="M55">
        <v>11137</v>
      </c>
    </row>
    <row r="56" spans="2:25">
      <c r="B56">
        <v>95320</v>
      </c>
      <c r="C56">
        <v>96601</v>
      </c>
      <c r="E56">
        <v>95101</v>
      </c>
      <c r="H56">
        <v>10966</v>
      </c>
      <c r="I56">
        <v>11112</v>
      </c>
      <c r="J56">
        <v>11235</v>
      </c>
      <c r="M56">
        <v>11185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364906</v>
      </c>
      <c r="C60">
        <v>181267</v>
      </c>
      <c r="E60">
        <v>299071</v>
      </c>
      <c r="H60">
        <v>86256</v>
      </c>
      <c r="I60">
        <v>32033</v>
      </c>
      <c r="J60">
        <v>103160</v>
      </c>
      <c r="M60">
        <v>187211</v>
      </c>
      <c r="N60">
        <v>8630035452</v>
      </c>
      <c r="O60">
        <v>7557405367</v>
      </c>
      <c r="Q60">
        <v>8204327997</v>
      </c>
      <c r="T60">
        <v>7493418711</v>
      </c>
      <c r="U60">
        <v>7487997367</v>
      </c>
      <c r="V60">
        <v>7838092117</v>
      </c>
      <c r="Y60">
        <v>7519662117</v>
      </c>
    </row>
    <row r="61" spans="2:25">
      <c r="B61">
        <v>363586</v>
      </c>
      <c r="C61">
        <v>181583</v>
      </c>
      <c r="E61">
        <v>298876</v>
      </c>
      <c r="H61">
        <v>87174</v>
      </c>
      <c r="I61">
        <v>32264</v>
      </c>
      <c r="J61">
        <v>104940</v>
      </c>
      <c r="M61">
        <v>185894</v>
      </c>
      <c r="N61">
        <v>8630035452</v>
      </c>
      <c r="O61">
        <v>7557405367</v>
      </c>
      <c r="Q61">
        <v>8204327997</v>
      </c>
      <c r="T61">
        <v>7493418711</v>
      </c>
      <c r="U61">
        <v>7487623367</v>
      </c>
      <c r="V61">
        <v>7838092117</v>
      </c>
      <c r="Y61">
        <v>7519662117</v>
      </c>
    </row>
    <row r="62" spans="2:25">
      <c r="B62">
        <v>368920</v>
      </c>
      <c r="C62">
        <v>181911</v>
      </c>
      <c r="E62">
        <v>299578</v>
      </c>
      <c r="H62">
        <v>89886</v>
      </c>
      <c r="I62">
        <v>32128</v>
      </c>
      <c r="J62">
        <v>103367</v>
      </c>
      <c r="M62">
        <v>189050</v>
      </c>
      <c r="N62">
        <v>8630035452</v>
      </c>
      <c r="O62">
        <v>7557405367</v>
      </c>
      <c r="Q62">
        <v>8204327997</v>
      </c>
      <c r="T62">
        <v>7493418711</v>
      </c>
      <c r="U62">
        <v>7487359367</v>
      </c>
      <c r="V62">
        <v>7838092117</v>
      </c>
      <c r="Y62">
        <v>7519662117</v>
      </c>
    </row>
    <row r="63" spans="2:25">
      <c r="B63">
        <v>370171</v>
      </c>
      <c r="C63">
        <v>182313</v>
      </c>
      <c r="E63">
        <v>298607</v>
      </c>
      <c r="H63">
        <v>87620</v>
      </c>
      <c r="I63">
        <v>32178</v>
      </c>
      <c r="J63">
        <v>104406</v>
      </c>
      <c r="M63">
        <v>184821</v>
      </c>
      <c r="N63">
        <v>8630035452</v>
      </c>
      <c r="O63">
        <v>7557405367</v>
      </c>
      <c r="Q63">
        <v>8204327997</v>
      </c>
      <c r="T63">
        <v>7493418711</v>
      </c>
      <c r="U63">
        <v>7487557367</v>
      </c>
      <c r="V63">
        <v>7838092117</v>
      </c>
      <c r="Y63">
        <v>7519662117</v>
      </c>
    </row>
    <row r="64" spans="2:25">
      <c r="B64">
        <v>367633</v>
      </c>
      <c r="C64">
        <v>181880</v>
      </c>
      <c r="E64">
        <v>299521</v>
      </c>
      <c r="H64">
        <v>90462</v>
      </c>
      <c r="I64">
        <v>32309</v>
      </c>
      <c r="J64">
        <v>105604</v>
      </c>
      <c r="M64">
        <v>187672</v>
      </c>
      <c r="N64">
        <v>8630035452</v>
      </c>
      <c r="O64">
        <v>7557405367</v>
      </c>
      <c r="Q64">
        <v>8204327997</v>
      </c>
      <c r="T64">
        <v>7493418711</v>
      </c>
      <c r="U64">
        <v>7487425367</v>
      </c>
      <c r="V64">
        <v>7838092117</v>
      </c>
      <c r="Y64">
        <v>7519662117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656620</v>
      </c>
      <c r="C68">
        <v>296049</v>
      </c>
      <c r="E68">
        <v>741713</v>
      </c>
      <c r="H68">
        <v>245093</v>
      </c>
      <c r="I68">
        <v>59536</v>
      </c>
      <c r="J68">
        <v>168074</v>
      </c>
      <c r="M68">
        <v>410395</v>
      </c>
    </row>
    <row r="69" spans="2:13">
      <c r="B69">
        <v>657418</v>
      </c>
      <c r="C69">
        <v>295835</v>
      </c>
      <c r="E69">
        <v>740682</v>
      </c>
      <c r="H69">
        <v>247764</v>
      </c>
      <c r="I69">
        <v>58727</v>
      </c>
      <c r="J69">
        <v>168070</v>
      </c>
      <c r="M69">
        <v>403304</v>
      </c>
    </row>
    <row r="70" spans="2:13">
      <c r="B70">
        <v>649901</v>
      </c>
      <c r="C70">
        <v>293591</v>
      </c>
      <c r="E70">
        <v>741642</v>
      </c>
      <c r="H70">
        <v>247479</v>
      </c>
      <c r="I70">
        <v>58841</v>
      </c>
      <c r="J70">
        <v>167471</v>
      </c>
      <c r="M70">
        <v>399504</v>
      </c>
    </row>
    <row r="71" spans="2:13">
      <c r="B71">
        <v>655372</v>
      </c>
      <c r="C71">
        <v>293618</v>
      </c>
      <c r="E71">
        <v>744614</v>
      </c>
      <c r="H71">
        <v>245038</v>
      </c>
      <c r="I71">
        <v>58442</v>
      </c>
      <c r="J71">
        <v>167090</v>
      </c>
      <c r="M71">
        <v>401071</v>
      </c>
    </row>
    <row r="72" spans="2:13">
      <c r="B72">
        <v>654344</v>
      </c>
      <c r="C72">
        <v>293309</v>
      </c>
      <c r="E72">
        <v>744607</v>
      </c>
      <c r="H72">
        <v>251554</v>
      </c>
      <c r="I72">
        <v>58441</v>
      </c>
      <c r="J72">
        <v>166360</v>
      </c>
      <c r="M72">
        <v>400420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51</v>
      </c>
    </row>
    <row r="37" spans="2:17">
      <c r="B37" t="s">
        <v>2</v>
      </c>
      <c r="C37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AVERAGE(Table92[Newtonsoft])</f>
        <v>606.6</v>
      </c>
      <c r="D38" s="2">
        <f>AVERAGE(Table92[Revenj])</f>
        <v>603</v>
      </c>
      <c r="E38" s="2" t="e">
        <f>AVERAGE(Table92[fastJSON])</f>
        <v>#DIV/0!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472.2</v>
      </c>
      <c r="J38" s="2">
        <f>AVERAGE(Table92[DSL Platform Java])</f>
        <v>426</v>
      </c>
      <c r="K38" s="2" t="e">
        <f>AVERAGE(Table92[Genson])</f>
        <v>#DIV/0!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>
      <c r="B39" t="s">
        <v>0</v>
      </c>
      <c r="C39" s="2">
        <f>AVERAGE(Table91[Newtonsoft]) - C38</f>
        <v>1636.2000000000003</v>
      </c>
      <c r="D39" s="2">
        <f>AVERAGE(Table91[Revenj]) - D38</f>
        <v>600</v>
      </c>
      <c r="E39" s="2" t="e">
        <f>AVERAGE(Table91[fastJSON]) - E38</f>
        <v>#DIV/0!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934</v>
      </c>
      <c r="J39" s="2">
        <f>AVERAGE(Table91[DSL Platform Java]) - J38</f>
        <v>318</v>
      </c>
      <c r="K39" s="2" t="e">
        <f>AVERAGE(Table91[Genson]) - K38</f>
        <v>#DIV/0!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2030</v>
      </c>
      <c r="D40" s="2">
        <f t="shared" si="0"/>
        <v>1095.1999999999998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1893.3999999999999</v>
      </c>
      <c r="J40" s="2">
        <f t="shared" ref="J40" si="3">J41 - J39 - J38</f>
        <v>287.79999999999995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25</v>
      </c>
      <c r="C41" s="2">
        <f>AVERAGE(Table93[Newtonsoft])</f>
        <v>4272.8</v>
      </c>
      <c r="D41" s="2">
        <f>AVERAGE(Table93[Revenj])</f>
        <v>2298.1999999999998</v>
      </c>
      <c r="E41" s="2" t="e">
        <f>AVERAGE(Table93[fastJSON])</f>
        <v>#DIV/0!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3299.6</v>
      </c>
      <c r="J41" s="2">
        <f>AVERAGE(Table93[DSL Platform Java])</f>
        <v>1031.8</v>
      </c>
      <c r="K41" s="2" t="e">
        <f>AVERAGE(Table93[Genson])</f>
        <v>#DIV/0!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>
      <c r="B42" t="s">
        <v>4</v>
      </c>
      <c r="C42" s="3">
        <f>AVERAGE(Table91[Newtonsoft (size)])</f>
        <v>62705819</v>
      </c>
      <c r="D42" s="3">
        <f>AVERAGE(Table91[Revenj (size)])</f>
        <v>49485608</v>
      </c>
      <c r="E42" s="3" t="e">
        <f>AVERAGE(Table91[fastJSON (size)])</f>
        <v>#DIV/0!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48172180</v>
      </c>
      <c r="J42" s="2">
        <f>AVERAGE(Table91[DSL Platform Java (size)])</f>
        <v>48172180</v>
      </c>
      <c r="K42" s="2" t="e">
        <f>AVERAGE(Table91[Genson (size)])</f>
        <v>#DIV/0!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DEVSQ(Table91[Newtonsoft])</f>
        <v>308.79999999999995</v>
      </c>
      <c r="D47" s="2">
        <f>DEVSQ(Table91[Revenj])</f>
        <v>26</v>
      </c>
      <c r="E47" s="2" t="e">
        <f>DEVSQ(Table91[fastJSON])</f>
        <v>#NUM!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404.8</v>
      </c>
      <c r="J47" s="2">
        <f>DEVSQ(Table91[DSL Platform Java])</f>
        <v>44</v>
      </c>
      <c r="K47" s="2" t="e">
        <f>DEVSQ(Table91[Genson])</f>
        <v>#NUM!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>
      <c r="B48" t="s">
        <v>25</v>
      </c>
      <c r="C48" s="2">
        <f>DEVSQ(Table93[Newtonsoft])</f>
        <v>1828.8000000000002</v>
      </c>
      <c r="D48" s="2">
        <f>DEVSQ(Table93[Revenj])</f>
        <v>132.80000000000001</v>
      </c>
      <c r="E48" s="2" t="e">
        <f>DEVSQ(Table93[fastJSON])</f>
        <v>#NUM!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987.2</v>
      </c>
      <c r="J48" s="2">
        <f>DEVSQ(Table93[DSL Platform Java])</f>
        <v>318.8</v>
      </c>
      <c r="K48" s="2" t="e">
        <f>DEVSQ(Table93[Genson])</f>
        <v>#NUM!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605</v>
      </c>
      <c r="C52">
        <v>601</v>
      </c>
      <c r="H52">
        <v>473</v>
      </c>
      <c r="I52">
        <v>427</v>
      </c>
    </row>
    <row r="53" spans="2:25">
      <c r="B53">
        <v>610</v>
      </c>
      <c r="C53">
        <v>610</v>
      </c>
      <c r="H53">
        <v>469</v>
      </c>
      <c r="I53">
        <v>425</v>
      </c>
    </row>
    <row r="54" spans="2:25">
      <c r="B54">
        <v>601</v>
      </c>
      <c r="C54">
        <v>599</v>
      </c>
      <c r="H54">
        <v>474</v>
      </c>
      <c r="I54">
        <v>424</v>
      </c>
    </row>
    <row r="55" spans="2:25">
      <c r="B55">
        <v>613</v>
      </c>
      <c r="C55">
        <v>603</v>
      </c>
      <c r="H55">
        <v>472</v>
      </c>
      <c r="I55">
        <v>425</v>
      </c>
    </row>
    <row r="56" spans="2:25">
      <c r="B56">
        <v>604</v>
      </c>
      <c r="C56">
        <v>602</v>
      </c>
      <c r="H56">
        <v>473</v>
      </c>
      <c r="I56">
        <v>429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2236</v>
      </c>
      <c r="C60">
        <v>1200</v>
      </c>
      <c r="H60">
        <v>1405</v>
      </c>
      <c r="I60">
        <v>741</v>
      </c>
      <c r="N60">
        <v>62705819</v>
      </c>
      <c r="O60">
        <v>49485608</v>
      </c>
      <c r="T60">
        <v>48172180</v>
      </c>
      <c r="U60">
        <v>48172180</v>
      </c>
    </row>
    <row r="61" spans="2:25">
      <c r="B61">
        <v>2246</v>
      </c>
      <c r="C61">
        <v>1203</v>
      </c>
      <c r="H61">
        <v>1394</v>
      </c>
      <c r="I61">
        <v>744</v>
      </c>
      <c r="N61">
        <v>62705819</v>
      </c>
      <c r="O61">
        <v>49485608</v>
      </c>
      <c r="T61">
        <v>48172180</v>
      </c>
      <c r="U61">
        <v>48172180</v>
      </c>
    </row>
    <row r="62" spans="2:25">
      <c r="B62">
        <v>2254</v>
      </c>
      <c r="C62">
        <v>1203</v>
      </c>
      <c r="H62">
        <v>1404</v>
      </c>
      <c r="I62">
        <v>741</v>
      </c>
      <c r="N62">
        <v>62705819</v>
      </c>
      <c r="O62">
        <v>49485608</v>
      </c>
      <c r="T62">
        <v>48172180</v>
      </c>
      <c r="U62">
        <v>48172180</v>
      </c>
    </row>
    <row r="63" spans="2:25">
      <c r="B63">
        <v>2232</v>
      </c>
      <c r="C63">
        <v>1202</v>
      </c>
      <c r="H63">
        <v>1406</v>
      </c>
      <c r="I63">
        <v>749</v>
      </c>
      <c r="N63">
        <v>62705819</v>
      </c>
      <c r="O63">
        <v>49485608</v>
      </c>
      <c r="T63">
        <v>48172180</v>
      </c>
      <c r="U63">
        <v>48172180</v>
      </c>
    </row>
    <row r="64" spans="2:25">
      <c r="B64">
        <v>2246</v>
      </c>
      <c r="C64">
        <v>1207</v>
      </c>
      <c r="H64">
        <v>1422</v>
      </c>
      <c r="I64">
        <v>745</v>
      </c>
      <c r="N64">
        <v>62705819</v>
      </c>
      <c r="O64">
        <v>49485608</v>
      </c>
      <c r="T64">
        <v>48172180</v>
      </c>
      <c r="U64">
        <v>48172180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4281</v>
      </c>
      <c r="C68">
        <v>2292</v>
      </c>
      <c r="H68">
        <v>3307</v>
      </c>
      <c r="I68">
        <v>1037</v>
      </c>
    </row>
    <row r="69" spans="2:13">
      <c r="B69">
        <v>4266</v>
      </c>
      <c r="C69">
        <v>2294</v>
      </c>
      <c r="H69">
        <v>3275</v>
      </c>
      <c r="I69">
        <v>1026</v>
      </c>
    </row>
    <row r="70" spans="2:13">
      <c r="B70">
        <v>4299</v>
      </c>
      <c r="C70">
        <v>2297</v>
      </c>
      <c r="H70">
        <v>3293</v>
      </c>
      <c r="I70">
        <v>1024</v>
      </c>
    </row>
    <row r="71" spans="2:13">
      <c r="B71">
        <v>4241</v>
      </c>
      <c r="C71">
        <v>2302</v>
      </c>
      <c r="H71">
        <v>3311</v>
      </c>
      <c r="I71">
        <v>1045</v>
      </c>
    </row>
    <row r="72" spans="2:13">
      <c r="B72">
        <v>4277</v>
      </c>
      <c r="C72">
        <v>2306</v>
      </c>
      <c r="H72">
        <v>3312</v>
      </c>
      <c r="I72">
        <v>1027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C37" sqref="C37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52</v>
      </c>
    </row>
    <row r="37" spans="2:17">
      <c r="B37" t="s">
        <v>2</v>
      </c>
      <c r="C37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AVERAGE(Table97[Newtonsoft])</f>
        <v>78894.2</v>
      </c>
      <c r="D38" s="2">
        <f>AVERAGE(Table97[Revenj])</f>
        <v>79779.199999999997</v>
      </c>
      <c r="E38" s="2" t="e">
        <f>AVERAGE(Table97[fastJSON])</f>
        <v>#DIV/0!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7603.8</v>
      </c>
      <c r="J38" s="2">
        <f>AVERAGE(Table97[DSL Platform Java])</f>
        <v>7501.2</v>
      </c>
      <c r="K38" s="2" t="e">
        <f>AVERAGE(Table97[Genson])</f>
        <v>#DIV/0!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>
      <c r="B39" t="s">
        <v>0</v>
      </c>
      <c r="C39" s="2">
        <f>AVERAGE(Table96[Newtonsoft]) - C38</f>
        <v>137344.59999999998</v>
      </c>
      <c r="D39" s="2">
        <f>AVERAGE(Table96[Revenj]) - D38</f>
        <v>64334.8</v>
      </c>
      <c r="E39" s="2" t="e">
        <f>AVERAGE(Table96[fastJSON]) - E38</f>
        <v>#DIV/0!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61435</v>
      </c>
      <c r="J39" s="2">
        <f>AVERAGE(Table96[DSL Platform Java]) - J38</f>
        <v>23136.2</v>
      </c>
      <c r="K39" s="2" t="e">
        <f>AVERAGE(Table96[Genson]) - K38</f>
        <v>#DIV/0!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209050</v>
      </c>
      <c r="D40" s="2">
        <f t="shared" si="0"/>
        <v>139383.40000000002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113345.99999999999</v>
      </c>
      <c r="J40" s="2">
        <f t="shared" ref="J40" si="3">J41 - J39 - J38</f>
        <v>24368.799999999996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25</v>
      </c>
      <c r="C41" s="2">
        <f>AVERAGE(Table98[Newtonsoft])</f>
        <v>425288.8</v>
      </c>
      <c r="D41" s="2">
        <f>AVERAGE(Table98[Revenj])</f>
        <v>283497.40000000002</v>
      </c>
      <c r="E41" s="2" t="e">
        <f>AVERAGE(Table98[fastJSON])</f>
        <v>#DIV/0!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182384.8</v>
      </c>
      <c r="J41" s="2">
        <f>AVERAGE(Table98[DSL Platform Java])</f>
        <v>55006.2</v>
      </c>
      <c r="K41" s="2" t="e">
        <f>AVERAGE(Table98[Genson])</f>
        <v>#DIV/0!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>
      <c r="B42" t="s">
        <v>4</v>
      </c>
      <c r="C42" s="3" t="e">
        <f>AVERAGE(Table96[Newtonsoft (size)])</f>
        <v>#DIV/0!</v>
      </c>
      <c r="D42" s="3">
        <f>AVERAGE(Table96[Revenj (size)])</f>
        <v>9490545095</v>
      </c>
      <c r="E42" s="3" t="e">
        <f>AVERAGE(Table96[fastJSON (size)])</f>
        <v>#DIV/0!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9388310815</v>
      </c>
      <c r="J42" s="2">
        <f>AVERAGE(Table96[DSL Platform Java (size)])</f>
        <v>9388310815</v>
      </c>
      <c r="K42" s="2" t="e">
        <f>AVERAGE(Table96[Genson (size)])</f>
        <v>#DIV/0!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DEVSQ(Table96[Newtonsoft])</f>
        <v>6126096.7999999998</v>
      </c>
      <c r="D47" s="2">
        <f>DEVSQ(Table96[Revenj])</f>
        <v>5199826</v>
      </c>
      <c r="E47" s="2" t="e">
        <f>DEVSQ(Table96[fastJSON])</f>
        <v>#NUM!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678174.8</v>
      </c>
      <c r="J47" s="2">
        <f>DEVSQ(Table96[DSL Platform Java])</f>
        <v>281953.2</v>
      </c>
      <c r="K47" s="2" t="e">
        <f>DEVSQ(Table96[Genson])</f>
        <v>#NUM!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>
      <c r="B48" t="s">
        <v>25</v>
      </c>
      <c r="C48" s="2">
        <f>DEVSQ(Table98[Newtonsoft])</f>
        <v>7630322.7999999998</v>
      </c>
      <c r="D48" s="2">
        <f>DEVSQ(Table98[Revenj])</f>
        <v>749799.20000000007</v>
      </c>
      <c r="E48" s="2" t="e">
        <f>DEVSQ(Table98[fastJSON])</f>
        <v>#NUM!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29005374.799999997</v>
      </c>
      <c r="J48" s="2">
        <f>DEVSQ(Table98[DSL Platform Java])</f>
        <v>805492.8</v>
      </c>
      <c r="K48" s="2" t="e">
        <f>DEVSQ(Table98[Genson])</f>
        <v>#NUM!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79467</v>
      </c>
      <c r="C52">
        <v>79668</v>
      </c>
      <c r="H52">
        <v>7490</v>
      </c>
      <c r="I52">
        <v>7279</v>
      </c>
    </row>
    <row r="53" spans="2:25">
      <c r="B53">
        <v>78686</v>
      </c>
      <c r="C53">
        <v>79872</v>
      </c>
      <c r="H53">
        <v>7616</v>
      </c>
      <c r="I53">
        <v>7559</v>
      </c>
    </row>
    <row r="54" spans="2:25">
      <c r="B54">
        <v>79255</v>
      </c>
      <c r="C54">
        <v>80086</v>
      </c>
      <c r="H54">
        <v>7422</v>
      </c>
      <c r="I54">
        <v>7460</v>
      </c>
    </row>
    <row r="55" spans="2:25">
      <c r="B55">
        <v>78291</v>
      </c>
      <c r="C55">
        <v>80032</v>
      </c>
      <c r="H55">
        <v>7746</v>
      </c>
      <c r="I55">
        <v>7559</v>
      </c>
    </row>
    <row r="56" spans="2:25">
      <c r="B56">
        <v>78772</v>
      </c>
      <c r="C56">
        <v>79238</v>
      </c>
      <c r="H56">
        <v>7745</v>
      </c>
      <c r="I56">
        <v>7649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217825</v>
      </c>
      <c r="C60">
        <v>143903</v>
      </c>
      <c r="H60">
        <v>68659</v>
      </c>
      <c r="I60">
        <v>30652</v>
      </c>
      <c r="O60">
        <v>9490545095</v>
      </c>
      <c r="T60">
        <v>9388310815</v>
      </c>
      <c r="U60">
        <v>9388310815</v>
      </c>
    </row>
    <row r="61" spans="2:25">
      <c r="B61">
        <v>215697</v>
      </c>
      <c r="C61">
        <v>144754</v>
      </c>
      <c r="H61">
        <v>69674</v>
      </c>
      <c r="I61">
        <v>30787</v>
      </c>
      <c r="O61">
        <v>9490545095</v>
      </c>
      <c r="T61">
        <v>9388310815</v>
      </c>
      <c r="U61">
        <v>9388310815</v>
      </c>
    </row>
    <row r="62" spans="2:25">
      <c r="B62">
        <v>215150</v>
      </c>
      <c r="C62">
        <v>142576</v>
      </c>
      <c r="H62">
        <v>68694</v>
      </c>
      <c r="I62">
        <v>30985</v>
      </c>
      <c r="O62">
        <v>9490545095</v>
      </c>
      <c r="T62">
        <v>9388310815</v>
      </c>
      <c r="U62">
        <v>9388310815</v>
      </c>
    </row>
    <row r="63" spans="2:25">
      <c r="B63">
        <v>217293</v>
      </c>
      <c r="C63">
        <v>143729</v>
      </c>
      <c r="H63">
        <v>69145</v>
      </c>
      <c r="I63">
        <v>30443</v>
      </c>
      <c r="O63">
        <v>9490545095</v>
      </c>
      <c r="T63">
        <v>9388310815</v>
      </c>
      <c r="U63">
        <v>9388310815</v>
      </c>
    </row>
    <row r="64" spans="2:25">
      <c r="B64">
        <v>215229</v>
      </c>
      <c r="C64">
        <v>145608</v>
      </c>
      <c r="H64">
        <v>69022</v>
      </c>
      <c r="I64">
        <v>30320</v>
      </c>
      <c r="O64">
        <v>9490545095</v>
      </c>
      <c r="T64">
        <v>9388310815</v>
      </c>
      <c r="U64">
        <v>9388310815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427500</v>
      </c>
      <c r="C68">
        <v>283898</v>
      </c>
      <c r="H68">
        <v>181945</v>
      </c>
      <c r="I68">
        <v>54723</v>
      </c>
    </row>
    <row r="69" spans="2:13">
      <c r="B69">
        <v>424139</v>
      </c>
      <c r="C69">
        <v>283564</v>
      </c>
      <c r="H69">
        <v>179330</v>
      </c>
      <c r="I69">
        <v>55711</v>
      </c>
    </row>
    <row r="70" spans="2:13">
      <c r="B70">
        <v>425618</v>
      </c>
      <c r="C70">
        <v>283000</v>
      </c>
      <c r="H70">
        <v>180940</v>
      </c>
      <c r="I70">
        <v>54783</v>
      </c>
    </row>
    <row r="71" spans="2:13">
      <c r="B71">
        <v>425008</v>
      </c>
      <c r="C71">
        <v>283102</v>
      </c>
      <c r="H71">
        <v>183243</v>
      </c>
      <c r="I71">
        <v>54625</v>
      </c>
    </row>
    <row r="72" spans="2:13">
      <c r="B72">
        <v>424179</v>
      </c>
      <c r="C72">
        <v>283923</v>
      </c>
      <c r="H72">
        <v>186466</v>
      </c>
      <c r="I72">
        <v>55189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36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AVERAGE(Table17[Newtonsoft])</f>
        <v>74.2</v>
      </c>
      <c r="D38" s="2">
        <f>AVERAGE(Table17[Revenj])</f>
        <v>74</v>
      </c>
      <c r="E38" s="2">
        <f>AVERAGE(Table17[fastJSON])</f>
        <v>74</v>
      </c>
      <c r="F38" s="2">
        <f>AVERAGE(Table17[Service Stack])</f>
        <v>77.599999999999994</v>
      </c>
      <c r="G38" s="2">
        <f>AVERAGE(Table17[Jil])</f>
        <v>79.2</v>
      </c>
      <c r="H38" s="2">
        <f>AVERAGE(Table17[NetJSON])</f>
        <v>76.400000000000006</v>
      </c>
      <c r="I38" s="2">
        <f>AVERAGE(Table17[Jackson])</f>
        <v>41</v>
      </c>
      <c r="J38" s="2">
        <f>AVERAGE(Table17[DSL Platform Java])</f>
        <v>42.6</v>
      </c>
      <c r="K38" s="2">
        <f>AVERAGE(Table17[Genson])</f>
        <v>41</v>
      </c>
      <c r="L38" s="2">
        <f>AVERAGE(Table17[Boon])</f>
        <v>47.2</v>
      </c>
      <c r="M38" s="2">
        <f>AVERAGE(Table17[Alibaba])</f>
        <v>48.2</v>
      </c>
      <c r="N38" s="2">
        <f>AVERAGE(Table17[Gson])</f>
        <v>45.8</v>
      </c>
      <c r="O38" s="2"/>
      <c r="P38" s="2"/>
      <c r="Q38" s="2"/>
    </row>
    <row r="39" spans="2:17">
      <c r="B39" t="s">
        <v>0</v>
      </c>
      <c r="C39" s="2">
        <f>AVERAGE(Table16[Newtonsoft]) - C38</f>
        <v>257.60000000000002</v>
      </c>
      <c r="D39" s="2">
        <f>AVERAGE(Table16[Revenj]) - D38</f>
        <v>56.199999999999989</v>
      </c>
      <c r="E39" s="2">
        <f>AVERAGE(Table16[fastJSON]) - E38</f>
        <v>179.8</v>
      </c>
      <c r="F39" s="2">
        <f>AVERAGE(Table16[Service Stack]) - F38</f>
        <v>331.79999999999995</v>
      </c>
      <c r="G39" s="2">
        <f>AVERAGE(Table16[Jil]) - G38</f>
        <v>356.6</v>
      </c>
      <c r="H39" s="2">
        <f>AVERAGE(Table16[NetJSON]) - H38</f>
        <v>108</v>
      </c>
      <c r="I39" s="2">
        <f>AVERAGE(Table16[Jackson]) - I38</f>
        <v>477.79999999999995</v>
      </c>
      <c r="J39" s="2">
        <f>AVERAGE(Table16[DSL Platform Java]) - J38</f>
        <v>48.800000000000004</v>
      </c>
      <c r="K39" s="2">
        <f>AVERAGE(Table16[Genson]) - K38</f>
        <v>733.6</v>
      </c>
      <c r="L39" s="2">
        <f>AVERAGE(Table16[Boon]) - L38</f>
        <v>402.2</v>
      </c>
      <c r="M39" s="2">
        <f>AVERAGE(Table16[Alibaba]) - M38</f>
        <v>360.8</v>
      </c>
      <c r="N39" s="2">
        <f>AVERAGE(Table16[Gson]) - N38</f>
        <v>339.4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334.40000000000003</v>
      </c>
      <c r="D40" s="2">
        <f t="shared" si="0"/>
        <v>125.80000000000001</v>
      </c>
      <c r="E40" s="2">
        <f t="shared" ref="E40" si="1">E41 - E39 - E38</f>
        <v>301.40000000000003</v>
      </c>
      <c r="F40" s="2">
        <f t="shared" si="0"/>
        <v>322.20000000000005</v>
      </c>
      <c r="G40" s="2">
        <f t="shared" si="0"/>
        <v>231.40000000000003</v>
      </c>
      <c r="H40" s="2">
        <f t="shared" si="0"/>
        <v>101.99999999999997</v>
      </c>
      <c r="I40" s="2">
        <f t="shared" ref="I40" si="2">I41 - I39 - I38</f>
        <v>525.79999999999995</v>
      </c>
      <c r="J40" s="2">
        <f t="shared" ref="J40" si="3">J41 - J39 - J38</f>
        <v>101.6</v>
      </c>
      <c r="K40" s="2">
        <f t="shared" ref="K40:L40" si="4">K41 - K39 - K38</f>
        <v>739.4</v>
      </c>
      <c r="L40" s="2">
        <f t="shared" si="4"/>
        <v>967</v>
      </c>
      <c r="M40" s="2">
        <f t="shared" ref="M40" si="5">M41 - M39 - M38</f>
        <v>287.60000000000002</v>
      </c>
      <c r="N40" s="2">
        <f t="shared" ref="N40" si="6">N41 - N39 - N38</f>
        <v>299.40000000000003</v>
      </c>
      <c r="O40" s="2"/>
      <c r="P40" s="2"/>
      <c r="Q40" s="2"/>
    </row>
    <row r="41" spans="2:17">
      <c r="B41" t="s">
        <v>25</v>
      </c>
      <c r="C41" s="2">
        <f>AVERAGE(Table18[Newtonsoft])</f>
        <v>666.2</v>
      </c>
      <c r="D41" s="2">
        <f>AVERAGE(Table18[Revenj])</f>
        <v>256</v>
      </c>
      <c r="E41" s="2">
        <f>AVERAGE(Table18[fastJSON])</f>
        <v>555.20000000000005</v>
      </c>
      <c r="F41" s="2">
        <f>AVERAGE(Table18[Service Stack])</f>
        <v>731.6</v>
      </c>
      <c r="G41" s="2">
        <f>AVERAGE(Table18[Jil])</f>
        <v>667.2</v>
      </c>
      <c r="H41" s="2">
        <f>AVERAGE(Table18[NetJSON])</f>
        <v>286.39999999999998</v>
      </c>
      <c r="I41" s="2">
        <f>AVERAGE(Table18[Jackson])</f>
        <v>1044.5999999999999</v>
      </c>
      <c r="J41" s="2">
        <f>AVERAGE(Table18[DSL Platform Java])</f>
        <v>193</v>
      </c>
      <c r="K41" s="2">
        <f>AVERAGE(Table18[Genson])</f>
        <v>1514</v>
      </c>
      <c r="L41" s="2">
        <f>AVERAGE(Table18[Boon])</f>
        <v>1416.4</v>
      </c>
      <c r="M41" s="2">
        <f>AVERAGE(Table18[Alibaba])</f>
        <v>696.6</v>
      </c>
      <c r="N41" s="2">
        <f>AVERAGE(Table18[Gson])</f>
        <v>684.6</v>
      </c>
      <c r="O41" s="2"/>
      <c r="P41" s="2"/>
      <c r="Q41" s="2"/>
    </row>
    <row r="42" spans="2:17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AVERAGE(Table16[fastJSON (size)])</f>
        <v>4777780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4777768</v>
      </c>
      <c r="J42" s="2">
        <f>AVERAGE(Table16[DSL Platform Java (size)])</f>
        <v>4777768</v>
      </c>
      <c r="K42" s="2">
        <f>AVERAGE(Table16[Genson (size)])</f>
        <v>4777780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DEVSQ(Table16[Newtonsoft])</f>
        <v>6.8000000000000007</v>
      </c>
      <c r="D47" s="2">
        <f>DEVSQ(Table16[Revenj])</f>
        <v>0.80000000000000016</v>
      </c>
      <c r="E47" s="2">
        <f>DEVSQ(Table16[fastJSON])</f>
        <v>10.8</v>
      </c>
      <c r="F47" s="2">
        <f>DEVSQ(Table16[Service Stack])</f>
        <v>21.200000000000003</v>
      </c>
      <c r="G47" s="2">
        <f>DEVSQ(Table16[Jil])</f>
        <v>28.8</v>
      </c>
      <c r="H47" s="2">
        <f>DEVSQ(Table16[NetJSON])</f>
        <v>17.199999999999996</v>
      </c>
      <c r="I47" s="2">
        <f>DEVSQ(Table16[Jackson])</f>
        <v>14.800000000000002</v>
      </c>
      <c r="J47" s="2">
        <f>DEVSQ(Table16[DSL Platform Java])</f>
        <v>1.2</v>
      </c>
      <c r="K47" s="2">
        <f>DEVSQ(Table16[Genson])</f>
        <v>45.2</v>
      </c>
      <c r="L47" s="2">
        <f>DEVSQ(Table16[Boon])</f>
        <v>3.2</v>
      </c>
      <c r="M47" s="2">
        <f>DEVSQ(Table16[Alibaba])</f>
        <v>2</v>
      </c>
      <c r="N47" s="2">
        <f>DEVSQ(Table16[Gson])</f>
        <v>10.8</v>
      </c>
      <c r="O47" s="2"/>
      <c r="P47" s="2"/>
      <c r="Q47" s="2"/>
    </row>
    <row r="48" spans="2:17">
      <c r="B48" t="s">
        <v>25</v>
      </c>
      <c r="C48" s="2">
        <f>DEVSQ(Table18[Newtonsoft])</f>
        <v>42.800000000000004</v>
      </c>
      <c r="D48" s="2">
        <f>DEVSQ(Table18[Revenj])</f>
        <v>2</v>
      </c>
      <c r="E48" s="2">
        <f>DEVSQ(Table18[fastJSON])</f>
        <v>108.80000000000001</v>
      </c>
      <c r="F48" s="2">
        <f>DEVSQ(Table18[Service Stack])</f>
        <v>161.19999999999999</v>
      </c>
      <c r="G48" s="2">
        <f>DEVSQ(Table18[Jil])</f>
        <v>62.8</v>
      </c>
      <c r="H48" s="2">
        <f>DEVSQ(Table18[NetJSON])</f>
        <v>9.1999999999999993</v>
      </c>
      <c r="I48" s="2">
        <f>DEVSQ(Table18[Jackson])</f>
        <v>305.2</v>
      </c>
      <c r="J48" s="2">
        <f>DEVSQ(Table18[DSL Platform Java])</f>
        <v>6</v>
      </c>
      <c r="K48" s="2">
        <f>DEVSQ(Table18[Genson])</f>
        <v>2108</v>
      </c>
      <c r="L48" s="2">
        <f>DEVSQ(Table18[Boon])</f>
        <v>541.20000000000005</v>
      </c>
      <c r="M48" s="2">
        <f>DEVSQ(Table18[Alibaba])</f>
        <v>25.200000000000003</v>
      </c>
      <c r="N48" s="2">
        <f>DEVSQ(Table18[Gson])</f>
        <v>565.19999999999993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74</v>
      </c>
      <c r="C52">
        <v>75</v>
      </c>
      <c r="D52">
        <v>74</v>
      </c>
      <c r="E52">
        <v>77</v>
      </c>
      <c r="F52">
        <v>80</v>
      </c>
      <c r="G52">
        <v>76</v>
      </c>
      <c r="H52">
        <v>41</v>
      </c>
      <c r="I52">
        <v>42</v>
      </c>
      <c r="J52">
        <v>41</v>
      </c>
      <c r="K52">
        <v>47</v>
      </c>
      <c r="L52">
        <v>48</v>
      </c>
      <c r="M52">
        <v>46</v>
      </c>
    </row>
    <row r="53" spans="2:25">
      <c r="B53">
        <v>74</v>
      </c>
      <c r="C53">
        <v>74</v>
      </c>
      <c r="D53">
        <v>74</v>
      </c>
      <c r="E53">
        <v>78</v>
      </c>
      <c r="F53">
        <v>79</v>
      </c>
      <c r="G53">
        <v>77</v>
      </c>
      <c r="H53">
        <v>41</v>
      </c>
      <c r="I53">
        <v>43</v>
      </c>
      <c r="J53">
        <v>41</v>
      </c>
      <c r="K53">
        <v>47</v>
      </c>
      <c r="L53">
        <v>49</v>
      </c>
      <c r="M53">
        <v>46</v>
      </c>
    </row>
    <row r="54" spans="2:25">
      <c r="B54">
        <v>75</v>
      </c>
      <c r="C54">
        <v>73</v>
      </c>
      <c r="D54">
        <v>74</v>
      </c>
      <c r="E54">
        <v>78</v>
      </c>
      <c r="F54">
        <v>79</v>
      </c>
      <c r="G54">
        <v>76</v>
      </c>
      <c r="H54">
        <v>41</v>
      </c>
      <c r="I54">
        <v>42</v>
      </c>
      <c r="J54">
        <v>41</v>
      </c>
      <c r="K54">
        <v>48</v>
      </c>
      <c r="L54">
        <v>48</v>
      </c>
      <c r="M54">
        <v>45</v>
      </c>
    </row>
    <row r="55" spans="2:25">
      <c r="B55">
        <v>74</v>
      </c>
      <c r="C55">
        <v>74</v>
      </c>
      <c r="D55">
        <v>75</v>
      </c>
      <c r="E55">
        <v>77</v>
      </c>
      <c r="F55">
        <v>79</v>
      </c>
      <c r="G55">
        <v>76</v>
      </c>
      <c r="H55">
        <v>41</v>
      </c>
      <c r="I55">
        <v>43</v>
      </c>
      <c r="J55">
        <v>41</v>
      </c>
      <c r="K55">
        <v>47</v>
      </c>
      <c r="L55">
        <v>48</v>
      </c>
      <c r="M55">
        <v>46</v>
      </c>
    </row>
    <row r="56" spans="2:25">
      <c r="B56">
        <v>74</v>
      </c>
      <c r="C56">
        <v>74</v>
      </c>
      <c r="D56">
        <v>73</v>
      </c>
      <c r="E56">
        <v>78</v>
      </c>
      <c r="F56">
        <v>79</v>
      </c>
      <c r="G56">
        <v>77</v>
      </c>
      <c r="H56">
        <v>41</v>
      </c>
      <c r="I56">
        <v>43</v>
      </c>
      <c r="J56">
        <v>41</v>
      </c>
      <c r="K56">
        <v>47</v>
      </c>
      <c r="L56">
        <v>48</v>
      </c>
      <c r="M56">
        <v>46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334</v>
      </c>
      <c r="C60">
        <v>130</v>
      </c>
      <c r="D60">
        <v>255</v>
      </c>
      <c r="E60">
        <v>408</v>
      </c>
      <c r="F60">
        <v>436</v>
      </c>
      <c r="G60">
        <v>188</v>
      </c>
      <c r="H60">
        <v>522</v>
      </c>
      <c r="I60">
        <v>91</v>
      </c>
      <c r="J60">
        <v>779</v>
      </c>
      <c r="K60">
        <v>450</v>
      </c>
      <c r="L60">
        <v>409</v>
      </c>
      <c r="M60">
        <v>387</v>
      </c>
      <c r="N60">
        <v>4777780</v>
      </c>
      <c r="O60">
        <v>4777768</v>
      </c>
      <c r="P60">
        <v>4777780</v>
      </c>
      <c r="Q60">
        <v>4777780</v>
      </c>
      <c r="R60">
        <v>4777780</v>
      </c>
      <c r="S60">
        <v>4777768</v>
      </c>
      <c r="T60">
        <v>4777768</v>
      </c>
      <c r="U60">
        <v>4777768</v>
      </c>
      <c r="V60">
        <v>4777780</v>
      </c>
      <c r="W60">
        <v>4777768</v>
      </c>
      <c r="X60">
        <v>4777780</v>
      </c>
      <c r="Y60">
        <v>4777780</v>
      </c>
    </row>
    <row r="61" spans="2:25">
      <c r="B61">
        <v>332</v>
      </c>
      <c r="C61">
        <v>131</v>
      </c>
      <c r="D61">
        <v>256</v>
      </c>
      <c r="E61">
        <v>409</v>
      </c>
      <c r="F61">
        <v>433</v>
      </c>
      <c r="G61">
        <v>183</v>
      </c>
      <c r="H61">
        <v>518</v>
      </c>
      <c r="I61">
        <v>91</v>
      </c>
      <c r="J61">
        <v>774</v>
      </c>
      <c r="K61">
        <v>450</v>
      </c>
      <c r="L61">
        <v>410</v>
      </c>
      <c r="M61">
        <v>384</v>
      </c>
      <c r="N61">
        <v>4777780</v>
      </c>
      <c r="O61">
        <v>4777768</v>
      </c>
      <c r="P61">
        <v>4777780</v>
      </c>
      <c r="Q61">
        <v>4777780</v>
      </c>
      <c r="R61">
        <v>4777780</v>
      </c>
      <c r="S61">
        <v>4777768</v>
      </c>
      <c r="T61">
        <v>4777768</v>
      </c>
      <c r="U61">
        <v>4777768</v>
      </c>
      <c r="V61">
        <v>4777780</v>
      </c>
      <c r="W61">
        <v>4777768</v>
      </c>
      <c r="X61">
        <v>4777780</v>
      </c>
      <c r="Y61">
        <v>4777780</v>
      </c>
    </row>
    <row r="62" spans="2:25">
      <c r="B62">
        <v>331</v>
      </c>
      <c r="C62">
        <v>130</v>
      </c>
      <c r="D62">
        <v>252</v>
      </c>
      <c r="E62">
        <v>407</v>
      </c>
      <c r="F62">
        <v>436</v>
      </c>
      <c r="G62">
        <v>184</v>
      </c>
      <c r="H62">
        <v>518</v>
      </c>
      <c r="I62">
        <v>92</v>
      </c>
      <c r="J62">
        <v>777</v>
      </c>
      <c r="K62">
        <v>448</v>
      </c>
      <c r="L62">
        <v>409</v>
      </c>
      <c r="M62">
        <v>386</v>
      </c>
      <c r="N62">
        <v>4777780</v>
      </c>
      <c r="O62">
        <v>4777768</v>
      </c>
      <c r="P62">
        <v>4777780</v>
      </c>
      <c r="Q62">
        <v>4777780</v>
      </c>
      <c r="R62">
        <v>4777780</v>
      </c>
      <c r="S62">
        <v>4777768</v>
      </c>
      <c r="T62">
        <v>4777768</v>
      </c>
      <c r="U62">
        <v>4777768</v>
      </c>
      <c r="V62">
        <v>4777780</v>
      </c>
      <c r="W62">
        <v>4777768</v>
      </c>
      <c r="X62">
        <v>4777780</v>
      </c>
      <c r="Y62">
        <v>4777780</v>
      </c>
    </row>
    <row r="63" spans="2:25">
      <c r="B63">
        <v>331</v>
      </c>
      <c r="C63">
        <v>130</v>
      </c>
      <c r="D63">
        <v>253</v>
      </c>
      <c r="E63">
        <v>413</v>
      </c>
      <c r="F63">
        <v>440</v>
      </c>
      <c r="G63">
        <v>183</v>
      </c>
      <c r="H63">
        <v>517</v>
      </c>
      <c r="I63">
        <v>92</v>
      </c>
      <c r="J63">
        <v>771</v>
      </c>
      <c r="K63">
        <v>450</v>
      </c>
      <c r="L63">
        <v>408</v>
      </c>
      <c r="M63">
        <v>383</v>
      </c>
      <c r="N63">
        <v>4777780</v>
      </c>
      <c r="O63">
        <v>4777768</v>
      </c>
      <c r="P63">
        <v>4777780</v>
      </c>
      <c r="Q63">
        <v>4777780</v>
      </c>
      <c r="R63">
        <v>4777780</v>
      </c>
      <c r="S63">
        <v>4777768</v>
      </c>
      <c r="T63">
        <v>4777768</v>
      </c>
      <c r="U63">
        <v>4777768</v>
      </c>
      <c r="V63">
        <v>4777780</v>
      </c>
      <c r="W63">
        <v>4777768</v>
      </c>
      <c r="X63">
        <v>4777780</v>
      </c>
      <c r="Y63">
        <v>4777780</v>
      </c>
    </row>
    <row r="64" spans="2:25">
      <c r="B64">
        <v>331</v>
      </c>
      <c r="C64">
        <v>130</v>
      </c>
      <c r="D64">
        <v>253</v>
      </c>
      <c r="E64">
        <v>410</v>
      </c>
      <c r="F64">
        <v>434</v>
      </c>
      <c r="G64">
        <v>184</v>
      </c>
      <c r="H64">
        <v>519</v>
      </c>
      <c r="I64">
        <v>91</v>
      </c>
      <c r="J64">
        <v>772</v>
      </c>
      <c r="K64">
        <v>449</v>
      </c>
      <c r="L64">
        <v>409</v>
      </c>
      <c r="M64">
        <v>386</v>
      </c>
      <c r="N64">
        <v>4777780</v>
      </c>
      <c r="O64">
        <v>4777768</v>
      </c>
      <c r="P64">
        <v>4777780</v>
      </c>
      <c r="Q64">
        <v>4777780</v>
      </c>
      <c r="R64">
        <v>4777780</v>
      </c>
      <c r="S64">
        <v>4777768</v>
      </c>
      <c r="T64">
        <v>4777768</v>
      </c>
      <c r="U64">
        <v>4777768</v>
      </c>
      <c r="V64">
        <v>4777780</v>
      </c>
      <c r="W64">
        <v>4777768</v>
      </c>
      <c r="X64">
        <v>4777780</v>
      </c>
      <c r="Y64">
        <v>4777780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668</v>
      </c>
      <c r="C68">
        <v>256</v>
      </c>
      <c r="D68">
        <v>563</v>
      </c>
      <c r="E68">
        <v>731</v>
      </c>
      <c r="F68">
        <v>667</v>
      </c>
      <c r="G68">
        <v>285</v>
      </c>
      <c r="H68">
        <v>1043</v>
      </c>
      <c r="I68">
        <v>191</v>
      </c>
      <c r="J68">
        <v>1510</v>
      </c>
      <c r="K68">
        <v>1420</v>
      </c>
      <c r="L68">
        <v>693</v>
      </c>
      <c r="M68">
        <v>679</v>
      </c>
    </row>
    <row r="69" spans="2:13">
      <c r="B69">
        <v>665</v>
      </c>
      <c r="C69">
        <v>256</v>
      </c>
      <c r="D69">
        <v>551</v>
      </c>
      <c r="E69">
        <v>732</v>
      </c>
      <c r="F69">
        <v>665</v>
      </c>
      <c r="G69">
        <v>288</v>
      </c>
      <c r="H69">
        <v>1034</v>
      </c>
      <c r="I69">
        <v>193</v>
      </c>
      <c r="J69">
        <v>1493</v>
      </c>
      <c r="K69">
        <v>1405</v>
      </c>
      <c r="L69">
        <v>696</v>
      </c>
      <c r="M69">
        <v>669</v>
      </c>
    </row>
    <row r="70" spans="2:13">
      <c r="B70">
        <v>661</v>
      </c>
      <c r="C70">
        <v>255</v>
      </c>
      <c r="D70">
        <v>551</v>
      </c>
      <c r="E70">
        <v>742</v>
      </c>
      <c r="F70">
        <v>672</v>
      </c>
      <c r="G70">
        <v>288</v>
      </c>
      <c r="H70">
        <v>1054</v>
      </c>
      <c r="I70">
        <v>193</v>
      </c>
      <c r="J70">
        <v>1511</v>
      </c>
      <c r="K70">
        <v>1407</v>
      </c>
      <c r="L70">
        <v>699</v>
      </c>
      <c r="M70">
        <v>682</v>
      </c>
    </row>
    <row r="71" spans="2:13">
      <c r="B71">
        <v>668</v>
      </c>
      <c r="C71">
        <v>256</v>
      </c>
      <c r="D71">
        <v>553</v>
      </c>
      <c r="E71">
        <v>727</v>
      </c>
      <c r="F71">
        <v>662</v>
      </c>
      <c r="G71">
        <v>286</v>
      </c>
      <c r="H71">
        <v>1039</v>
      </c>
      <c r="I71">
        <v>194</v>
      </c>
      <c r="J71">
        <v>1503</v>
      </c>
      <c r="K71">
        <v>1416</v>
      </c>
      <c r="L71">
        <v>696</v>
      </c>
      <c r="M71">
        <v>696</v>
      </c>
    </row>
    <row r="72" spans="2:13">
      <c r="B72">
        <v>669</v>
      </c>
      <c r="C72">
        <v>257</v>
      </c>
      <c r="D72">
        <v>558</v>
      </c>
      <c r="E72">
        <v>726</v>
      </c>
      <c r="F72">
        <v>670</v>
      </c>
      <c r="G72">
        <v>285</v>
      </c>
      <c r="H72">
        <v>1053</v>
      </c>
      <c r="I72">
        <v>194</v>
      </c>
      <c r="J72">
        <v>1553</v>
      </c>
      <c r="K72">
        <v>1434</v>
      </c>
      <c r="L72">
        <v>699</v>
      </c>
      <c r="M72">
        <v>697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37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AVERAGE(Table22[Newtonsoft])</f>
        <v>542.20000000000005</v>
      </c>
      <c r="D38" s="2">
        <f>AVERAGE(Table22[Revenj])</f>
        <v>550.4</v>
      </c>
      <c r="E38" s="2">
        <f>AVERAGE(Table22[fastJSON])</f>
        <v>545</v>
      </c>
      <c r="F38" s="2">
        <f>AVERAGE(Table22[Service Stack])</f>
        <v>575.6</v>
      </c>
      <c r="G38" s="2">
        <f>AVERAGE(Table22[Jil])</f>
        <v>572.6</v>
      </c>
      <c r="H38" s="2">
        <f>AVERAGE(Table22[NetJSON])</f>
        <v>530.20000000000005</v>
      </c>
      <c r="I38" s="2">
        <f>AVERAGE(Table22[Jackson])</f>
        <v>114.4</v>
      </c>
      <c r="J38" s="2">
        <f>AVERAGE(Table22[DSL Platform Java])</f>
        <v>114</v>
      </c>
      <c r="K38" s="2">
        <f>AVERAGE(Table22[Genson])</f>
        <v>112</v>
      </c>
      <c r="L38" s="2">
        <f>AVERAGE(Table22[Boon])</f>
        <v>118.4</v>
      </c>
      <c r="M38" s="2">
        <f>AVERAGE(Table22[Alibaba])</f>
        <v>119</v>
      </c>
      <c r="N38" s="2">
        <f>AVERAGE(Table22[Gson])</f>
        <v>117</v>
      </c>
      <c r="O38" s="2"/>
      <c r="P38" s="2"/>
      <c r="Q38" s="2"/>
    </row>
    <row r="39" spans="2:17">
      <c r="B39" t="s">
        <v>0</v>
      </c>
      <c r="C39" s="2">
        <f>AVERAGE(Table21[Newtonsoft]) - C38</f>
        <v>1734.9999999999998</v>
      </c>
      <c r="D39" s="2">
        <f>AVERAGE(Table21[Revenj]) - D38</f>
        <v>524.00000000000011</v>
      </c>
      <c r="E39" s="2">
        <f>AVERAGE(Table21[fastJSON]) - E38</f>
        <v>1618.1999999999998</v>
      </c>
      <c r="F39" s="2">
        <f>AVERAGE(Table21[Service Stack]) - F38</f>
        <v>2690</v>
      </c>
      <c r="G39" s="2">
        <f>AVERAGE(Table21[Jil]) - G38</f>
        <v>1499.6</v>
      </c>
      <c r="H39" s="2">
        <f>AVERAGE(Table21[NetJSON]) - H38</f>
        <v>735.8</v>
      </c>
      <c r="I39" s="2">
        <f>AVERAGE(Table21[Jackson]) - I38</f>
        <v>889</v>
      </c>
      <c r="J39" s="2">
        <f>AVERAGE(Table21[DSL Platform Java]) - J38</f>
        <v>149.19999999999999</v>
      </c>
      <c r="K39" s="2">
        <f>AVERAGE(Table21[Genson]) - K38</f>
        <v>3943.4</v>
      </c>
      <c r="L39" s="2">
        <f>AVERAGE(Table21[Boon]) - L38</f>
        <v>1037</v>
      </c>
      <c r="M39" s="2">
        <f>AVERAGE(Table21[Alibaba]) - M38</f>
        <v>730</v>
      </c>
      <c r="N39" s="2">
        <f>AVERAGE(Table21[Gson]) - N38</f>
        <v>1329.8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2975.8</v>
      </c>
      <c r="D40" s="2">
        <f t="shared" si="0"/>
        <v>1164</v>
      </c>
      <c r="E40" s="2">
        <f t="shared" ref="E40" si="1">E41 - E39 - E38</f>
        <v>2891.6000000000004</v>
      </c>
      <c r="F40" s="2">
        <f t="shared" si="0"/>
        <v>2957.7999999999997</v>
      </c>
      <c r="G40" s="2">
        <f t="shared" si="0"/>
        <v>1542.8000000000002</v>
      </c>
      <c r="H40" s="2">
        <f t="shared" si="0"/>
        <v>1016.1999999999998</v>
      </c>
      <c r="I40" s="2">
        <f t="shared" ref="I40" si="2">I41 - I39 - I38</f>
        <v>1199.4000000000001</v>
      </c>
      <c r="J40" s="2">
        <f t="shared" ref="J40" si="3">J41 - J39 - J38</f>
        <v>280.2</v>
      </c>
      <c r="K40" s="2">
        <f t="shared" ref="K40:L40" si="4">K41 - K39 - K38</f>
        <v>4076</v>
      </c>
      <c r="L40" s="2">
        <f t="shared" si="4"/>
        <v>6207.2000000000007</v>
      </c>
      <c r="M40" s="2">
        <f t="shared" ref="M40" si="5">M41 - M39 - M38</f>
        <v>1163.5999999999999</v>
      </c>
      <c r="N40" s="2">
        <f t="shared" ref="N40" si="6">N41 - N39 - N38</f>
        <v>1876.8</v>
      </c>
      <c r="O40" s="2"/>
      <c r="P40" s="2"/>
      <c r="Q40" s="2"/>
    </row>
    <row r="41" spans="2:17">
      <c r="B41" t="s">
        <v>25</v>
      </c>
      <c r="C41" s="2">
        <f>AVERAGE(Table23[Newtonsoft])</f>
        <v>5253</v>
      </c>
      <c r="D41" s="2">
        <f>AVERAGE(Table23[Revenj])</f>
        <v>2238.4</v>
      </c>
      <c r="E41" s="2">
        <f>AVERAGE(Table23[fastJSON])</f>
        <v>5054.8</v>
      </c>
      <c r="F41" s="2">
        <f>AVERAGE(Table23[Service Stack])</f>
        <v>6223.4</v>
      </c>
      <c r="G41" s="2">
        <f>AVERAGE(Table23[Jil])</f>
        <v>3615</v>
      </c>
      <c r="H41" s="2">
        <f>AVERAGE(Table23[NetJSON])</f>
        <v>2282.1999999999998</v>
      </c>
      <c r="I41" s="2">
        <f>AVERAGE(Table23[Jackson])</f>
        <v>2202.8000000000002</v>
      </c>
      <c r="J41" s="2">
        <f>AVERAGE(Table23[DSL Platform Java])</f>
        <v>543.4</v>
      </c>
      <c r="K41" s="2">
        <f>AVERAGE(Table23[Genson])</f>
        <v>8131.4</v>
      </c>
      <c r="L41" s="2">
        <f>AVERAGE(Table23[Boon])</f>
        <v>7362.6</v>
      </c>
      <c r="M41" s="2">
        <f>AVERAGE(Table23[Alibaba])</f>
        <v>2012.6</v>
      </c>
      <c r="N41" s="2">
        <f>AVERAGE(Table23[Gson])</f>
        <v>3323.6</v>
      </c>
      <c r="O41" s="2"/>
      <c r="P41" s="2"/>
      <c r="Q41" s="2"/>
    </row>
    <row r="42" spans="2:17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AVERAGE(Table21[fastJSON (size)])</f>
        <v>49777780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49777768</v>
      </c>
      <c r="J42" s="2">
        <f>AVERAGE(Table21[DSL Platform Java (size)])</f>
        <v>49777768</v>
      </c>
      <c r="K42" s="2">
        <f>AVERAGE(Table21[Genson (size)])</f>
        <v>49777780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DEVSQ(Table21[Newtonsoft])</f>
        <v>574.79999999999995</v>
      </c>
      <c r="D47" s="2">
        <f>DEVSQ(Table21[Revenj])</f>
        <v>133.19999999999999</v>
      </c>
      <c r="E47" s="2">
        <f>DEVSQ(Table21[fastJSON])</f>
        <v>1022.8000000000002</v>
      </c>
      <c r="F47" s="2">
        <f>DEVSQ(Table21[Service Stack])</f>
        <v>1427.2</v>
      </c>
      <c r="G47" s="2">
        <f>DEVSQ(Table21[Jil])</f>
        <v>1202.8</v>
      </c>
      <c r="H47" s="2">
        <f>DEVSQ(Table21[NetJSON])</f>
        <v>594</v>
      </c>
      <c r="I47" s="2">
        <f>DEVSQ(Table21[Jackson])</f>
        <v>9135.2000000000007</v>
      </c>
      <c r="J47" s="2">
        <f>DEVSQ(Table21[DSL Platform Java])</f>
        <v>4.8000000000000007</v>
      </c>
      <c r="K47" s="2">
        <f>DEVSQ(Table21[Genson])</f>
        <v>36785.199999999997</v>
      </c>
      <c r="L47" s="2">
        <f>DEVSQ(Table21[Boon])</f>
        <v>4933.2</v>
      </c>
      <c r="M47" s="2">
        <f>DEVSQ(Table21[Alibaba])</f>
        <v>90</v>
      </c>
      <c r="N47" s="2">
        <f>DEVSQ(Table21[Gson])</f>
        <v>3274.7999999999997</v>
      </c>
      <c r="O47" s="2"/>
      <c r="P47" s="2"/>
      <c r="Q47" s="2"/>
    </row>
    <row r="48" spans="2:17">
      <c r="B48" t="s">
        <v>25</v>
      </c>
      <c r="C48" s="2">
        <f>DEVSQ(Table23[Newtonsoft])</f>
        <v>1634</v>
      </c>
      <c r="D48" s="2">
        <f>DEVSQ(Table23[Revenj])</f>
        <v>225.20000000000002</v>
      </c>
      <c r="E48" s="2">
        <f>DEVSQ(Table23[fastJSON])</f>
        <v>17784.8</v>
      </c>
      <c r="F48" s="2">
        <f>DEVSQ(Table23[Service Stack])</f>
        <v>4299.2</v>
      </c>
      <c r="G48" s="2">
        <f>DEVSQ(Table23[Jil])</f>
        <v>3316</v>
      </c>
      <c r="H48" s="2">
        <f>DEVSQ(Table23[NetJSON])</f>
        <v>14518.8</v>
      </c>
      <c r="I48" s="2">
        <f>DEVSQ(Table23[Jackson])</f>
        <v>35074.799999999996</v>
      </c>
      <c r="J48" s="2">
        <f>DEVSQ(Table23[DSL Platform Java])</f>
        <v>157.19999999999999</v>
      </c>
      <c r="K48" s="2">
        <f>DEVSQ(Table23[Genson])</f>
        <v>434377.2</v>
      </c>
      <c r="L48" s="2">
        <f>DEVSQ(Table23[Boon])</f>
        <v>7825.2000000000007</v>
      </c>
      <c r="M48" s="2">
        <f>DEVSQ(Table23[Alibaba])</f>
        <v>1711.2</v>
      </c>
      <c r="N48" s="2">
        <f>DEVSQ(Table23[Gson])</f>
        <v>26265.200000000001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544</v>
      </c>
      <c r="C52">
        <v>554</v>
      </c>
      <c r="D52">
        <v>536</v>
      </c>
      <c r="E52">
        <v>580</v>
      </c>
      <c r="F52">
        <v>560</v>
      </c>
      <c r="G52">
        <v>533</v>
      </c>
      <c r="H52">
        <v>113</v>
      </c>
      <c r="I52">
        <v>114</v>
      </c>
      <c r="J52">
        <v>112</v>
      </c>
      <c r="K52">
        <v>118</v>
      </c>
      <c r="L52">
        <v>119</v>
      </c>
      <c r="M52">
        <v>117</v>
      </c>
    </row>
    <row r="53" spans="2:25">
      <c r="B53">
        <v>544</v>
      </c>
      <c r="C53">
        <v>550</v>
      </c>
      <c r="D53">
        <v>543</v>
      </c>
      <c r="E53">
        <v>573</v>
      </c>
      <c r="F53">
        <v>578</v>
      </c>
      <c r="G53">
        <v>529</v>
      </c>
      <c r="H53">
        <v>113</v>
      </c>
      <c r="I53">
        <v>114</v>
      </c>
      <c r="J53">
        <v>112</v>
      </c>
      <c r="K53">
        <v>119</v>
      </c>
      <c r="L53">
        <v>119</v>
      </c>
      <c r="M53">
        <v>117</v>
      </c>
    </row>
    <row r="54" spans="2:25">
      <c r="B54">
        <v>540</v>
      </c>
      <c r="C54">
        <v>548</v>
      </c>
      <c r="D54">
        <v>537</v>
      </c>
      <c r="E54">
        <v>570</v>
      </c>
      <c r="F54">
        <v>559</v>
      </c>
      <c r="G54">
        <v>529</v>
      </c>
      <c r="H54">
        <v>112</v>
      </c>
      <c r="I54">
        <v>114</v>
      </c>
      <c r="J54">
        <v>112</v>
      </c>
      <c r="K54">
        <v>119</v>
      </c>
      <c r="L54">
        <v>119</v>
      </c>
      <c r="M54">
        <v>117</v>
      </c>
    </row>
    <row r="55" spans="2:25">
      <c r="B55">
        <v>542</v>
      </c>
      <c r="C55">
        <v>552</v>
      </c>
      <c r="D55">
        <v>548</v>
      </c>
      <c r="E55">
        <v>576</v>
      </c>
      <c r="F55">
        <v>578</v>
      </c>
      <c r="G55">
        <v>531</v>
      </c>
      <c r="H55">
        <v>117</v>
      </c>
      <c r="I55">
        <v>114</v>
      </c>
      <c r="J55">
        <v>112</v>
      </c>
      <c r="K55">
        <v>118</v>
      </c>
      <c r="L55">
        <v>119</v>
      </c>
      <c r="M55">
        <v>117</v>
      </c>
    </row>
    <row r="56" spans="2:25">
      <c r="B56">
        <v>541</v>
      </c>
      <c r="C56">
        <v>548</v>
      </c>
      <c r="D56">
        <v>561</v>
      </c>
      <c r="E56">
        <v>579</v>
      </c>
      <c r="F56">
        <v>588</v>
      </c>
      <c r="G56">
        <v>529</v>
      </c>
      <c r="H56">
        <v>117</v>
      </c>
      <c r="I56">
        <v>114</v>
      </c>
      <c r="J56">
        <v>112</v>
      </c>
      <c r="K56">
        <v>118</v>
      </c>
      <c r="L56">
        <v>119</v>
      </c>
      <c r="M56">
        <v>117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2275</v>
      </c>
      <c r="C60">
        <v>1080</v>
      </c>
      <c r="D60">
        <v>2166</v>
      </c>
      <c r="E60">
        <v>3245</v>
      </c>
      <c r="F60">
        <v>2062</v>
      </c>
      <c r="G60">
        <v>1287</v>
      </c>
      <c r="H60">
        <v>968</v>
      </c>
      <c r="I60">
        <v>263</v>
      </c>
      <c r="J60">
        <v>4099</v>
      </c>
      <c r="K60">
        <v>1121</v>
      </c>
      <c r="L60">
        <v>843</v>
      </c>
      <c r="M60">
        <v>1419</v>
      </c>
      <c r="N60">
        <v>49777780</v>
      </c>
      <c r="O60">
        <v>49777768</v>
      </c>
      <c r="P60">
        <v>49777780</v>
      </c>
      <c r="Q60">
        <v>49777780</v>
      </c>
      <c r="R60">
        <v>49777780</v>
      </c>
      <c r="S60">
        <v>49777768</v>
      </c>
      <c r="T60">
        <v>49777768</v>
      </c>
      <c r="U60">
        <v>49777768</v>
      </c>
      <c r="V60">
        <v>49777780</v>
      </c>
      <c r="W60">
        <v>49777768</v>
      </c>
      <c r="X60">
        <v>49777780</v>
      </c>
      <c r="Y60">
        <v>49777780</v>
      </c>
    </row>
    <row r="61" spans="2:25">
      <c r="B61">
        <v>2272</v>
      </c>
      <c r="C61">
        <v>1078</v>
      </c>
      <c r="D61">
        <v>2140</v>
      </c>
      <c r="E61">
        <v>3247</v>
      </c>
      <c r="F61">
        <v>2066</v>
      </c>
      <c r="G61">
        <v>1257</v>
      </c>
      <c r="H61">
        <v>968</v>
      </c>
      <c r="I61">
        <v>262</v>
      </c>
      <c r="J61">
        <v>3994</v>
      </c>
      <c r="K61">
        <v>1130</v>
      </c>
      <c r="L61">
        <v>854</v>
      </c>
      <c r="M61">
        <v>1424</v>
      </c>
      <c r="N61">
        <v>49777780</v>
      </c>
      <c r="O61">
        <v>49777768</v>
      </c>
      <c r="P61">
        <v>49777780</v>
      </c>
      <c r="Q61">
        <v>49777780</v>
      </c>
      <c r="R61">
        <v>49777780</v>
      </c>
      <c r="S61">
        <v>49777768</v>
      </c>
      <c r="T61">
        <v>49777768</v>
      </c>
      <c r="U61">
        <v>49777768</v>
      </c>
      <c r="V61">
        <v>49777780</v>
      </c>
      <c r="W61">
        <v>49777768</v>
      </c>
      <c r="X61">
        <v>49777780</v>
      </c>
      <c r="Y61">
        <v>49777780</v>
      </c>
    </row>
    <row r="62" spans="2:25">
      <c r="B62">
        <v>2261</v>
      </c>
      <c r="C62">
        <v>1071</v>
      </c>
      <c r="D62">
        <v>2157</v>
      </c>
      <c r="E62">
        <v>3285</v>
      </c>
      <c r="F62">
        <v>2099</v>
      </c>
      <c r="G62">
        <v>1260</v>
      </c>
      <c r="H62">
        <v>1040</v>
      </c>
      <c r="I62">
        <v>265</v>
      </c>
      <c r="J62">
        <v>4059</v>
      </c>
      <c r="K62">
        <v>1156</v>
      </c>
      <c r="L62">
        <v>845</v>
      </c>
      <c r="M62">
        <v>1448</v>
      </c>
      <c r="N62">
        <v>49777780</v>
      </c>
      <c r="O62">
        <v>49777768</v>
      </c>
      <c r="P62">
        <v>49777780</v>
      </c>
      <c r="Q62">
        <v>49777780</v>
      </c>
      <c r="R62">
        <v>49777780</v>
      </c>
      <c r="S62">
        <v>49777768</v>
      </c>
      <c r="T62">
        <v>49777768</v>
      </c>
      <c r="U62">
        <v>49777768</v>
      </c>
      <c r="V62">
        <v>49777780</v>
      </c>
      <c r="W62">
        <v>49777768</v>
      </c>
      <c r="X62">
        <v>49777780</v>
      </c>
      <c r="Y62">
        <v>49777780</v>
      </c>
    </row>
    <row r="63" spans="2:25">
      <c r="B63">
        <v>2288</v>
      </c>
      <c r="C63">
        <v>1066</v>
      </c>
      <c r="D63">
        <v>2183</v>
      </c>
      <c r="E63">
        <v>3282</v>
      </c>
      <c r="F63">
        <v>2079</v>
      </c>
      <c r="G63">
        <v>1266</v>
      </c>
      <c r="H63">
        <v>972</v>
      </c>
      <c r="I63">
        <v>263</v>
      </c>
      <c r="J63">
        <v>3938</v>
      </c>
      <c r="K63">
        <v>1159</v>
      </c>
      <c r="L63">
        <v>852</v>
      </c>
      <c r="M63">
        <v>1452</v>
      </c>
      <c r="N63">
        <v>49777780</v>
      </c>
      <c r="O63">
        <v>49777768</v>
      </c>
      <c r="P63">
        <v>49777780</v>
      </c>
      <c r="Q63">
        <v>49777780</v>
      </c>
      <c r="R63">
        <v>49777780</v>
      </c>
      <c r="S63">
        <v>49777768</v>
      </c>
      <c r="T63">
        <v>49777768</v>
      </c>
      <c r="U63">
        <v>49777768</v>
      </c>
      <c r="V63">
        <v>49777780</v>
      </c>
      <c r="W63">
        <v>49777768</v>
      </c>
      <c r="X63">
        <v>49777780</v>
      </c>
      <c r="Y63">
        <v>49777780</v>
      </c>
    </row>
    <row r="64" spans="2:25">
      <c r="B64">
        <v>2290</v>
      </c>
      <c r="C64">
        <v>1077</v>
      </c>
      <c r="D64">
        <v>2170</v>
      </c>
      <c r="E64">
        <v>3269</v>
      </c>
      <c r="F64">
        <v>2055</v>
      </c>
      <c r="G64">
        <v>1260</v>
      </c>
      <c r="H64">
        <v>1069</v>
      </c>
      <c r="I64">
        <v>263</v>
      </c>
      <c r="J64">
        <v>4187</v>
      </c>
      <c r="K64">
        <v>1211</v>
      </c>
      <c r="L64">
        <v>851</v>
      </c>
      <c r="M64">
        <v>1491</v>
      </c>
      <c r="N64">
        <v>49777780</v>
      </c>
      <c r="O64">
        <v>49777768</v>
      </c>
      <c r="P64">
        <v>49777780</v>
      </c>
      <c r="Q64">
        <v>49777780</v>
      </c>
      <c r="R64">
        <v>49777780</v>
      </c>
      <c r="S64">
        <v>49777768</v>
      </c>
      <c r="T64">
        <v>49777768</v>
      </c>
      <c r="U64">
        <v>49777768</v>
      </c>
      <c r="V64">
        <v>49777780</v>
      </c>
      <c r="W64">
        <v>49777768</v>
      </c>
      <c r="X64">
        <v>49777780</v>
      </c>
      <c r="Y64">
        <v>49777780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5283</v>
      </c>
      <c r="C68">
        <v>2229</v>
      </c>
      <c r="D68">
        <v>5005</v>
      </c>
      <c r="E68">
        <v>6222</v>
      </c>
      <c r="F68">
        <v>3602</v>
      </c>
      <c r="G68">
        <v>2238</v>
      </c>
      <c r="H68">
        <v>2132</v>
      </c>
      <c r="I68">
        <v>546</v>
      </c>
      <c r="J68">
        <v>8299</v>
      </c>
      <c r="K68">
        <v>7359</v>
      </c>
      <c r="L68">
        <v>1991</v>
      </c>
      <c r="M68">
        <v>3308</v>
      </c>
    </row>
    <row r="69" spans="2:13">
      <c r="B69">
        <v>5260</v>
      </c>
      <c r="C69">
        <v>2248</v>
      </c>
      <c r="D69">
        <v>5039</v>
      </c>
      <c r="E69">
        <v>6191</v>
      </c>
      <c r="F69">
        <v>3578</v>
      </c>
      <c r="G69">
        <v>2277</v>
      </c>
      <c r="H69">
        <v>2356</v>
      </c>
      <c r="I69">
        <v>535</v>
      </c>
      <c r="J69">
        <v>8078</v>
      </c>
      <c r="K69">
        <v>7390</v>
      </c>
      <c r="L69">
        <v>2046</v>
      </c>
      <c r="M69">
        <v>3323</v>
      </c>
    </row>
    <row r="70" spans="2:13">
      <c r="B70">
        <v>5229</v>
      </c>
      <c r="C70">
        <v>2242</v>
      </c>
      <c r="D70">
        <v>5079</v>
      </c>
      <c r="E70">
        <v>6208</v>
      </c>
      <c r="F70">
        <v>3648</v>
      </c>
      <c r="G70">
        <v>2239</v>
      </c>
      <c r="H70">
        <v>2128</v>
      </c>
      <c r="I70">
        <v>541</v>
      </c>
      <c r="J70">
        <v>7825</v>
      </c>
      <c r="K70">
        <v>7359</v>
      </c>
      <c r="L70">
        <v>2006</v>
      </c>
      <c r="M70">
        <v>3236</v>
      </c>
    </row>
    <row r="71" spans="2:13">
      <c r="B71">
        <v>5243</v>
      </c>
      <c r="C71">
        <v>2233</v>
      </c>
      <c r="D71">
        <v>5158</v>
      </c>
      <c r="E71">
        <v>6278</v>
      </c>
      <c r="F71">
        <v>3640</v>
      </c>
      <c r="G71">
        <v>2272</v>
      </c>
      <c r="H71">
        <v>2221</v>
      </c>
      <c r="I71">
        <v>543</v>
      </c>
      <c r="J71">
        <v>7846</v>
      </c>
      <c r="K71">
        <v>7294</v>
      </c>
      <c r="L71">
        <v>2004</v>
      </c>
      <c r="M71">
        <v>3456</v>
      </c>
    </row>
    <row r="72" spans="2:13">
      <c r="B72">
        <v>5250</v>
      </c>
      <c r="C72">
        <v>2240</v>
      </c>
      <c r="D72">
        <v>4993</v>
      </c>
      <c r="E72">
        <v>6218</v>
      </c>
      <c r="F72">
        <v>3607</v>
      </c>
      <c r="G72">
        <v>2385</v>
      </c>
      <c r="H72">
        <v>2177</v>
      </c>
      <c r="I72">
        <v>552</v>
      </c>
      <c r="J72">
        <v>8609</v>
      </c>
      <c r="K72">
        <v>7411</v>
      </c>
      <c r="L72">
        <v>2016</v>
      </c>
      <c r="M72">
        <v>3295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38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AVERAGE(Table27[Newtonsoft])</f>
        <v>5359.8</v>
      </c>
      <c r="D38" s="2">
        <f>AVERAGE(Table27[Revenj])</f>
        <v>5384.6</v>
      </c>
      <c r="E38" s="2">
        <f>AVERAGE(Table27[fastJSON])</f>
        <v>5350.8</v>
      </c>
      <c r="F38" s="2">
        <f>AVERAGE(Table27[Service Stack])</f>
        <v>5658.6</v>
      </c>
      <c r="G38" s="2">
        <f>AVERAGE(Table27[Jil])</f>
        <v>5698.4</v>
      </c>
      <c r="H38" s="2">
        <f>AVERAGE(Table27[NetJSON])</f>
        <v>5182.8</v>
      </c>
      <c r="I38" s="2">
        <f>AVERAGE(Table27[Jackson])</f>
        <v>653.79999999999995</v>
      </c>
      <c r="J38" s="2">
        <f>AVERAGE(Table27[DSL Platform Java])</f>
        <v>653</v>
      </c>
      <c r="K38" s="2">
        <f>AVERAGE(Table27[Genson])</f>
        <v>657.4</v>
      </c>
      <c r="L38" s="2">
        <f>AVERAGE(Table27[Boon])</f>
        <v>658</v>
      </c>
      <c r="M38" s="2">
        <f>AVERAGE(Table27[Alibaba])</f>
        <v>648.79999999999995</v>
      </c>
      <c r="N38" s="2">
        <f>AVERAGE(Table27[Gson])</f>
        <v>659.2</v>
      </c>
      <c r="O38" s="2"/>
      <c r="P38" s="2"/>
      <c r="Q38" s="2"/>
    </row>
    <row r="39" spans="2:17">
      <c r="B39" t="s">
        <v>0</v>
      </c>
      <c r="C39" s="2">
        <f>AVERAGE(Table26[Newtonsoft]) - C38</f>
        <v>16435.2</v>
      </c>
      <c r="D39" s="2">
        <f>AVERAGE(Table26[Revenj]) - D38</f>
        <v>5379.7999999999993</v>
      </c>
      <c r="E39" s="2">
        <f>AVERAGE(Table26[fastJSON]) - E38</f>
        <v>16120</v>
      </c>
      <c r="F39" s="2">
        <f>AVERAGE(Table26[Service Stack]) - F38</f>
        <v>26456.800000000003</v>
      </c>
      <c r="G39" s="2">
        <f>AVERAGE(Table26[Jil]) - G38</f>
        <v>13298.4</v>
      </c>
      <c r="H39" s="2">
        <f>AVERAGE(Table26[NetJSON]) - H38</f>
        <v>6984.9999999999991</v>
      </c>
      <c r="I39" s="2">
        <f>AVERAGE(Table26[Jackson]) - I38</f>
        <v>5055</v>
      </c>
      <c r="J39" s="2">
        <f>AVERAGE(Table26[DSL Platform Java]) - J38</f>
        <v>1176.8</v>
      </c>
      <c r="K39" s="2">
        <f>AVERAGE(Table26[Genson]) - K38</f>
        <v>32560.400000000001</v>
      </c>
      <c r="L39" s="2">
        <f>AVERAGE(Table26[Boon]) - L38</f>
        <v>7373.8</v>
      </c>
      <c r="M39" s="2">
        <f>AVERAGE(Table26[Alibaba]) - M38</f>
        <v>4322</v>
      </c>
      <c r="N39" s="2">
        <f>AVERAGE(Table26[Gson]) - N38</f>
        <v>10082.4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29662.800000000007</v>
      </c>
      <c r="D40" s="2">
        <f t="shared" si="0"/>
        <v>11585.4</v>
      </c>
      <c r="E40" s="2">
        <f t="shared" ref="E40" si="1">E41 - E39 - E38</f>
        <v>29072.000000000004</v>
      </c>
      <c r="F40" s="2">
        <f t="shared" si="0"/>
        <v>29184.400000000001</v>
      </c>
      <c r="G40" s="2">
        <f t="shared" si="0"/>
        <v>14436.199999999999</v>
      </c>
      <c r="H40" s="2">
        <f t="shared" si="0"/>
        <v>10036.200000000001</v>
      </c>
      <c r="I40" s="2">
        <f t="shared" ref="I40" si="2">I41 - I39 - I38</f>
        <v>7526.4000000000005</v>
      </c>
      <c r="J40" s="2">
        <f t="shared" ref="J40" si="3">J41 - J39 - J38</f>
        <v>2234</v>
      </c>
      <c r="K40" s="2">
        <f t="shared" ref="K40:L40" si="4">K41 - K39 - K38</f>
        <v>39020.199999999997</v>
      </c>
      <c r="L40" s="2">
        <f t="shared" si="4"/>
        <v>59073</v>
      </c>
      <c r="M40" s="2">
        <f t="shared" ref="M40" si="5">M41 - M39 - M38</f>
        <v>9315.2000000000007</v>
      </c>
      <c r="N40" s="2">
        <f t="shared" ref="N40" si="6">N41 - N39 - N38</f>
        <v>15711.800000000001</v>
      </c>
      <c r="O40" s="2"/>
      <c r="P40" s="2"/>
      <c r="Q40" s="2"/>
    </row>
    <row r="41" spans="2:17">
      <c r="B41" t="s">
        <v>25</v>
      </c>
      <c r="C41" s="2">
        <f>AVERAGE(Table28[Newtonsoft])</f>
        <v>51457.8</v>
      </c>
      <c r="D41" s="2">
        <f>AVERAGE(Table28[Revenj])</f>
        <v>22349.8</v>
      </c>
      <c r="E41" s="2">
        <f>AVERAGE(Table28[fastJSON])</f>
        <v>50542.8</v>
      </c>
      <c r="F41" s="2">
        <f>AVERAGE(Table28[Service Stack])</f>
        <v>61299.8</v>
      </c>
      <c r="G41" s="2">
        <f>AVERAGE(Table28[Jil])</f>
        <v>33433</v>
      </c>
      <c r="H41" s="2">
        <f>AVERAGE(Table28[NetJSON])</f>
        <v>22204</v>
      </c>
      <c r="I41" s="2">
        <f>AVERAGE(Table28[Jackson])</f>
        <v>13235.2</v>
      </c>
      <c r="J41" s="2">
        <f>AVERAGE(Table28[DSL Platform Java])</f>
        <v>4063.8</v>
      </c>
      <c r="K41" s="2">
        <f>AVERAGE(Table28[Genson])</f>
        <v>72238</v>
      </c>
      <c r="L41" s="2">
        <f>AVERAGE(Table28[Boon])</f>
        <v>67104.800000000003</v>
      </c>
      <c r="M41" s="2">
        <f>AVERAGE(Table28[Alibaba])</f>
        <v>14286</v>
      </c>
      <c r="N41" s="2">
        <f>AVERAGE(Table28[Gson])</f>
        <v>26453.4</v>
      </c>
      <c r="O41" s="2"/>
      <c r="P41" s="2"/>
      <c r="Q41" s="2"/>
    </row>
    <row r="42" spans="2:17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AVERAGE(Table26[fastJSON (size)])</f>
        <v>517777780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517777768</v>
      </c>
      <c r="J42" s="2">
        <f>AVERAGE(Table26[DSL Platform Java (size)])</f>
        <v>517777768</v>
      </c>
      <c r="K42" s="2">
        <f>AVERAGE(Table26[Genson (size)])</f>
        <v>517777780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DEVSQ(Table26[Newtonsoft])</f>
        <v>3698</v>
      </c>
      <c r="D47" s="2">
        <f>DEVSQ(Table26[Revenj])</f>
        <v>21493.200000000001</v>
      </c>
      <c r="E47" s="2">
        <f>DEVSQ(Table26[fastJSON])</f>
        <v>161810.79999999999</v>
      </c>
      <c r="F47" s="2">
        <f>DEVSQ(Table26[Service Stack])</f>
        <v>17967.2</v>
      </c>
      <c r="G47" s="2">
        <f>DEVSQ(Table26[Jil])</f>
        <v>116576.79999999999</v>
      </c>
      <c r="H47" s="2">
        <f>DEVSQ(Table26[NetJSON])</f>
        <v>5566.8</v>
      </c>
      <c r="I47" s="2">
        <f>DEVSQ(Table26[Jackson])</f>
        <v>384134.8</v>
      </c>
      <c r="J47" s="2">
        <f>DEVSQ(Table26[DSL Platform Java])</f>
        <v>596.79999999999995</v>
      </c>
      <c r="K47" s="2">
        <f>DEVSQ(Table26[Genson])</f>
        <v>1926666.8</v>
      </c>
      <c r="L47" s="2">
        <f>DEVSQ(Table26[Boon])</f>
        <v>304814.8</v>
      </c>
      <c r="M47" s="2">
        <f>DEVSQ(Table26[Alibaba])</f>
        <v>20886.8</v>
      </c>
      <c r="N47" s="2">
        <f>DEVSQ(Table26[Gson])</f>
        <v>78669.2</v>
      </c>
      <c r="O47" s="2"/>
      <c r="P47" s="2"/>
      <c r="Q47" s="2"/>
    </row>
    <row r="48" spans="2:17">
      <c r="B48" t="s">
        <v>25</v>
      </c>
      <c r="C48" s="2">
        <f>DEVSQ(Table28[Newtonsoft])</f>
        <v>137100.79999999999</v>
      </c>
      <c r="D48" s="2">
        <f>DEVSQ(Table28[Revenj])</f>
        <v>31648.800000000003</v>
      </c>
      <c r="E48" s="2">
        <f>DEVSQ(Table28[fastJSON])</f>
        <v>194134.8</v>
      </c>
      <c r="F48" s="2">
        <f>DEVSQ(Table28[Service Stack])</f>
        <v>534346.80000000005</v>
      </c>
      <c r="G48" s="2">
        <f>DEVSQ(Table28[Jil])</f>
        <v>37352</v>
      </c>
      <c r="H48" s="2">
        <f>DEVSQ(Table28[NetJSON])</f>
        <v>8180</v>
      </c>
      <c r="I48" s="2">
        <f>DEVSQ(Table28[Jackson])</f>
        <v>1407030.8</v>
      </c>
      <c r="J48" s="2">
        <f>DEVSQ(Table28[DSL Platform Java])</f>
        <v>2034.8000000000002</v>
      </c>
      <c r="K48" s="2">
        <f>DEVSQ(Table28[Genson])</f>
        <v>24747826</v>
      </c>
      <c r="L48" s="2">
        <f>DEVSQ(Table28[Boon])</f>
        <v>4826414.8</v>
      </c>
      <c r="M48" s="2">
        <f>DEVSQ(Table28[Alibaba])</f>
        <v>121318</v>
      </c>
      <c r="N48" s="2">
        <f>DEVSQ(Table28[Gson])</f>
        <v>1242829.2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5361</v>
      </c>
      <c r="C52">
        <v>5362</v>
      </c>
      <c r="D52">
        <v>5332</v>
      </c>
      <c r="E52">
        <v>5538</v>
      </c>
      <c r="F52">
        <v>5760</v>
      </c>
      <c r="G52">
        <v>5147</v>
      </c>
      <c r="H52">
        <v>659</v>
      </c>
      <c r="I52">
        <v>668</v>
      </c>
      <c r="J52">
        <v>655</v>
      </c>
      <c r="K52">
        <v>661</v>
      </c>
      <c r="L52">
        <v>648</v>
      </c>
      <c r="M52">
        <v>704</v>
      </c>
    </row>
    <row r="53" spans="2:25">
      <c r="B53">
        <v>5414</v>
      </c>
      <c r="C53">
        <v>5452</v>
      </c>
      <c r="D53">
        <v>5239</v>
      </c>
      <c r="E53">
        <v>5694</v>
      </c>
      <c r="F53">
        <v>5767</v>
      </c>
      <c r="G53">
        <v>5193</v>
      </c>
      <c r="H53">
        <v>652</v>
      </c>
      <c r="I53">
        <v>647</v>
      </c>
      <c r="J53">
        <v>646</v>
      </c>
      <c r="K53">
        <v>652</v>
      </c>
      <c r="L53">
        <v>647</v>
      </c>
      <c r="M53">
        <v>643</v>
      </c>
    </row>
    <row r="54" spans="2:25">
      <c r="B54">
        <v>5336</v>
      </c>
      <c r="C54">
        <v>5368</v>
      </c>
      <c r="D54">
        <v>5301</v>
      </c>
      <c r="E54">
        <v>5766</v>
      </c>
      <c r="F54">
        <v>5507</v>
      </c>
      <c r="G54">
        <v>5201</v>
      </c>
      <c r="H54">
        <v>651</v>
      </c>
      <c r="I54">
        <v>643</v>
      </c>
      <c r="J54">
        <v>649</v>
      </c>
      <c r="K54">
        <v>644</v>
      </c>
      <c r="L54">
        <v>645</v>
      </c>
      <c r="M54">
        <v>648</v>
      </c>
    </row>
    <row r="55" spans="2:25">
      <c r="B55">
        <v>5338</v>
      </c>
      <c r="C55">
        <v>5352</v>
      </c>
      <c r="D55">
        <v>5321</v>
      </c>
      <c r="E55">
        <v>5618</v>
      </c>
      <c r="F55">
        <v>5696</v>
      </c>
      <c r="G55">
        <v>5242</v>
      </c>
      <c r="H55">
        <v>653</v>
      </c>
      <c r="I55">
        <v>658</v>
      </c>
      <c r="J55">
        <v>646</v>
      </c>
      <c r="K55">
        <v>671</v>
      </c>
      <c r="L55">
        <v>648</v>
      </c>
      <c r="M55">
        <v>649</v>
      </c>
    </row>
    <row r="56" spans="2:25">
      <c r="B56">
        <v>5350</v>
      </c>
      <c r="C56">
        <v>5389</v>
      </c>
      <c r="D56">
        <v>5561</v>
      </c>
      <c r="E56">
        <v>5677</v>
      </c>
      <c r="F56">
        <v>5762</v>
      </c>
      <c r="G56">
        <v>5131</v>
      </c>
      <c r="H56">
        <v>654</v>
      </c>
      <c r="I56">
        <v>649</v>
      </c>
      <c r="J56">
        <v>691</v>
      </c>
      <c r="K56">
        <v>662</v>
      </c>
      <c r="L56">
        <v>656</v>
      </c>
      <c r="M56">
        <v>652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21799</v>
      </c>
      <c r="C60">
        <v>10803</v>
      </c>
      <c r="D60">
        <v>21522</v>
      </c>
      <c r="E60">
        <v>32128</v>
      </c>
      <c r="F60">
        <v>18769</v>
      </c>
      <c r="G60">
        <v>12157</v>
      </c>
      <c r="H60">
        <v>5447</v>
      </c>
      <c r="I60">
        <v>1851</v>
      </c>
      <c r="J60">
        <v>32766</v>
      </c>
      <c r="K60">
        <v>7917</v>
      </c>
      <c r="L60">
        <v>5055</v>
      </c>
      <c r="M60">
        <v>10922</v>
      </c>
      <c r="N60">
        <v>517777780</v>
      </c>
      <c r="O60">
        <v>517777768</v>
      </c>
      <c r="P60">
        <v>517777780</v>
      </c>
      <c r="Q60">
        <v>517777780</v>
      </c>
      <c r="R60">
        <v>517777780</v>
      </c>
      <c r="S60">
        <v>517777768</v>
      </c>
      <c r="T60">
        <v>517777768</v>
      </c>
      <c r="U60">
        <v>517777768</v>
      </c>
      <c r="V60">
        <v>517777780</v>
      </c>
      <c r="W60">
        <v>517777768</v>
      </c>
      <c r="X60">
        <v>517777780</v>
      </c>
      <c r="Y60">
        <v>517777780</v>
      </c>
    </row>
    <row r="61" spans="2:25">
      <c r="B61">
        <v>21817</v>
      </c>
      <c r="C61">
        <v>10720</v>
      </c>
      <c r="D61">
        <v>21335</v>
      </c>
      <c r="E61">
        <v>32080</v>
      </c>
      <c r="F61">
        <v>18999</v>
      </c>
      <c r="G61">
        <v>12179</v>
      </c>
      <c r="H61">
        <v>6134</v>
      </c>
      <c r="I61">
        <v>1821</v>
      </c>
      <c r="J61">
        <v>34421</v>
      </c>
      <c r="K61">
        <v>8175</v>
      </c>
      <c r="L61">
        <v>5013</v>
      </c>
      <c r="M61">
        <v>10774</v>
      </c>
      <c r="N61">
        <v>517777780</v>
      </c>
      <c r="O61">
        <v>517777768</v>
      </c>
      <c r="P61">
        <v>517777780</v>
      </c>
      <c r="Q61">
        <v>517777780</v>
      </c>
      <c r="R61">
        <v>517777780</v>
      </c>
      <c r="S61">
        <v>517777768</v>
      </c>
      <c r="T61">
        <v>517777768</v>
      </c>
      <c r="U61">
        <v>517777768</v>
      </c>
      <c r="V61">
        <v>517777780</v>
      </c>
      <c r="W61">
        <v>517777768</v>
      </c>
      <c r="X61">
        <v>517777780</v>
      </c>
      <c r="Y61">
        <v>517777780</v>
      </c>
    </row>
    <row r="62" spans="2:25">
      <c r="B62">
        <v>21776</v>
      </c>
      <c r="C62">
        <v>10756</v>
      </c>
      <c r="D62">
        <v>21308</v>
      </c>
      <c r="E62">
        <v>32033</v>
      </c>
      <c r="F62">
        <v>19009</v>
      </c>
      <c r="G62">
        <v>12188</v>
      </c>
      <c r="H62">
        <v>5568</v>
      </c>
      <c r="I62">
        <v>1825</v>
      </c>
      <c r="J62">
        <v>33085</v>
      </c>
      <c r="K62">
        <v>8000</v>
      </c>
      <c r="L62">
        <v>4884</v>
      </c>
      <c r="M62">
        <v>10603</v>
      </c>
      <c r="N62">
        <v>517777780</v>
      </c>
      <c r="O62">
        <v>517777768</v>
      </c>
      <c r="P62">
        <v>517777780</v>
      </c>
      <c r="Q62">
        <v>517777780</v>
      </c>
      <c r="R62">
        <v>517777780</v>
      </c>
      <c r="S62">
        <v>517777768</v>
      </c>
      <c r="T62">
        <v>517777768</v>
      </c>
      <c r="U62">
        <v>517777768</v>
      </c>
      <c r="V62">
        <v>517777780</v>
      </c>
      <c r="W62">
        <v>517777768</v>
      </c>
      <c r="X62">
        <v>517777780</v>
      </c>
      <c r="Y62">
        <v>517777780</v>
      </c>
    </row>
    <row r="63" spans="2:25">
      <c r="B63">
        <v>21829</v>
      </c>
      <c r="C63">
        <v>10866</v>
      </c>
      <c r="D63">
        <v>21390</v>
      </c>
      <c r="E63">
        <v>32214</v>
      </c>
      <c r="F63">
        <v>19248</v>
      </c>
      <c r="G63">
        <v>12206</v>
      </c>
      <c r="H63">
        <v>5937</v>
      </c>
      <c r="I63">
        <v>1829</v>
      </c>
      <c r="J63">
        <v>33090</v>
      </c>
      <c r="K63">
        <v>8401</v>
      </c>
      <c r="L63">
        <v>4908</v>
      </c>
      <c r="M63">
        <v>10597</v>
      </c>
      <c r="N63">
        <v>517777780</v>
      </c>
      <c r="O63">
        <v>517777768</v>
      </c>
      <c r="P63">
        <v>517777780</v>
      </c>
      <c r="Q63">
        <v>517777780</v>
      </c>
      <c r="R63">
        <v>517777780</v>
      </c>
      <c r="S63">
        <v>517777768</v>
      </c>
      <c r="T63">
        <v>517777768</v>
      </c>
      <c r="U63">
        <v>517777768</v>
      </c>
      <c r="V63">
        <v>517777780</v>
      </c>
      <c r="W63">
        <v>517777768</v>
      </c>
      <c r="X63">
        <v>517777780</v>
      </c>
      <c r="Y63">
        <v>517777780</v>
      </c>
    </row>
    <row r="64" spans="2:25">
      <c r="B64">
        <v>21754</v>
      </c>
      <c r="C64">
        <v>10677</v>
      </c>
      <c r="D64">
        <v>21799</v>
      </c>
      <c r="E64">
        <v>32122</v>
      </c>
      <c r="F64">
        <v>18959</v>
      </c>
      <c r="G64">
        <v>12109</v>
      </c>
      <c r="H64">
        <v>5458</v>
      </c>
      <c r="I64">
        <v>1823</v>
      </c>
      <c r="J64">
        <v>32727</v>
      </c>
      <c r="K64">
        <v>7666</v>
      </c>
      <c r="L64">
        <v>4994</v>
      </c>
      <c r="M64">
        <v>10812</v>
      </c>
      <c r="N64">
        <v>517777780</v>
      </c>
      <c r="O64">
        <v>517777768</v>
      </c>
      <c r="P64">
        <v>517777780</v>
      </c>
      <c r="Q64">
        <v>517777780</v>
      </c>
      <c r="R64">
        <v>517777780</v>
      </c>
      <c r="S64">
        <v>517777768</v>
      </c>
      <c r="T64">
        <v>517777768</v>
      </c>
      <c r="U64">
        <v>517777768</v>
      </c>
      <c r="V64">
        <v>517777780</v>
      </c>
      <c r="W64">
        <v>517777768</v>
      </c>
      <c r="X64">
        <v>517777780</v>
      </c>
      <c r="Y64">
        <v>517777780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51518</v>
      </c>
      <c r="C68">
        <v>22222</v>
      </c>
      <c r="D68">
        <v>50209</v>
      </c>
      <c r="E68">
        <v>61083</v>
      </c>
      <c r="F68">
        <v>33442</v>
      </c>
      <c r="G68">
        <v>22195</v>
      </c>
      <c r="H68">
        <v>13446</v>
      </c>
      <c r="I68">
        <v>4090</v>
      </c>
      <c r="J68">
        <v>71918</v>
      </c>
      <c r="K68">
        <v>65664</v>
      </c>
      <c r="L68">
        <v>14417</v>
      </c>
      <c r="M68">
        <v>25920</v>
      </c>
    </row>
    <row r="69" spans="2:13">
      <c r="B69">
        <v>51755</v>
      </c>
      <c r="C69">
        <v>22457</v>
      </c>
      <c r="D69">
        <v>50515</v>
      </c>
      <c r="E69">
        <v>61277</v>
      </c>
      <c r="F69">
        <v>33456</v>
      </c>
      <c r="G69">
        <v>22179</v>
      </c>
      <c r="H69">
        <v>12604</v>
      </c>
      <c r="I69">
        <v>4071</v>
      </c>
      <c r="J69">
        <v>76127</v>
      </c>
      <c r="K69">
        <v>67644</v>
      </c>
      <c r="L69">
        <v>14104</v>
      </c>
      <c r="M69">
        <v>26695</v>
      </c>
    </row>
    <row r="70" spans="2:13">
      <c r="B70">
        <v>51316</v>
      </c>
      <c r="C70">
        <v>22406</v>
      </c>
      <c r="D70">
        <v>50812</v>
      </c>
      <c r="E70">
        <v>61823</v>
      </c>
      <c r="F70">
        <v>33530</v>
      </c>
      <c r="G70">
        <v>22213</v>
      </c>
      <c r="H70">
        <v>13966</v>
      </c>
      <c r="I70">
        <v>4071</v>
      </c>
      <c r="J70">
        <v>69802</v>
      </c>
      <c r="K70">
        <v>66683</v>
      </c>
      <c r="L70">
        <v>14516</v>
      </c>
      <c r="M70">
        <v>26806</v>
      </c>
    </row>
    <row r="71" spans="2:13">
      <c r="B71">
        <v>51320</v>
      </c>
      <c r="C71">
        <v>22336</v>
      </c>
      <c r="D71">
        <v>50640</v>
      </c>
      <c r="E71">
        <v>60864</v>
      </c>
      <c r="F71">
        <v>33271</v>
      </c>
      <c r="G71">
        <v>22276</v>
      </c>
      <c r="H71">
        <v>13517</v>
      </c>
      <c r="I71">
        <v>4029</v>
      </c>
      <c r="J71">
        <v>72885</v>
      </c>
      <c r="K71">
        <v>66928</v>
      </c>
      <c r="L71">
        <v>14229</v>
      </c>
      <c r="M71">
        <v>25801</v>
      </c>
    </row>
    <row r="72" spans="2:13">
      <c r="B72">
        <v>51380</v>
      </c>
      <c r="C72">
        <v>22328</v>
      </c>
      <c r="D72">
        <v>50538</v>
      </c>
      <c r="E72">
        <v>61452</v>
      </c>
      <c r="F72">
        <v>33466</v>
      </c>
      <c r="G72">
        <v>22157</v>
      </c>
      <c r="H72">
        <v>12643</v>
      </c>
      <c r="I72">
        <v>4058</v>
      </c>
      <c r="J72">
        <v>70458</v>
      </c>
      <c r="K72">
        <v>68605</v>
      </c>
      <c r="L72">
        <v>14164</v>
      </c>
      <c r="M72">
        <v>27045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39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AVERAGE(Table32[Newtonsoft])</f>
        <v>67.2</v>
      </c>
      <c r="D38" s="2">
        <f>AVERAGE(Table32[Revenj])</f>
        <v>63</v>
      </c>
      <c r="E38" s="2">
        <f>AVERAGE(Table32[fastJSON])</f>
        <v>64.2</v>
      </c>
      <c r="F38" s="2">
        <f>AVERAGE(Table32[Service Stack])</f>
        <v>62.4</v>
      </c>
      <c r="G38" s="2">
        <f>AVERAGE(Table32[Jil])</f>
        <v>62.6</v>
      </c>
      <c r="H38" s="2">
        <f>AVERAGE(Table32[NetJSON])</f>
        <v>62.8</v>
      </c>
      <c r="I38" s="2">
        <f>AVERAGE(Table32[Jackson])</f>
        <v>143.4</v>
      </c>
      <c r="J38" s="2">
        <f>AVERAGE(Table32[DSL Platform Java])</f>
        <v>142.4</v>
      </c>
      <c r="K38" s="2">
        <f>AVERAGE(Table32[Genson])</f>
        <v>141.19999999999999</v>
      </c>
      <c r="L38" s="2">
        <f>AVERAGE(Table32[Boon])</f>
        <v>143.4</v>
      </c>
      <c r="M38" s="2">
        <f>AVERAGE(Table32[Alibaba])</f>
        <v>146.6</v>
      </c>
      <c r="N38" s="2">
        <f>AVERAGE(Table32[Gson])</f>
        <v>143.19999999999999</v>
      </c>
      <c r="O38" s="2"/>
      <c r="P38" s="2"/>
      <c r="Q38" s="2"/>
    </row>
    <row r="39" spans="2:17">
      <c r="B39" t="s">
        <v>0</v>
      </c>
      <c r="C39" s="2">
        <f>AVERAGE(Table31[Newtonsoft]) - C38</f>
        <v>241.40000000000003</v>
      </c>
      <c r="D39" s="2">
        <f>AVERAGE(Table31[Revenj]) - D38</f>
        <v>96.4</v>
      </c>
      <c r="E39" s="2">
        <f>AVERAGE(Table31[fastJSON]) - E38</f>
        <v>221.60000000000002</v>
      </c>
      <c r="F39" s="2">
        <f>AVERAGE(Table31[Service Stack]) - F38</f>
        <v>357.6</v>
      </c>
      <c r="G39" s="2">
        <f>AVERAGE(Table31[Jil]) - G38</f>
        <v>173.8</v>
      </c>
      <c r="H39" s="2">
        <f>AVERAGE(Table31[NetJSON]) - H38</f>
        <v>110.2</v>
      </c>
      <c r="I39" s="2">
        <f>AVERAGE(Table31[Jackson]) - I38</f>
        <v>243.99999999999997</v>
      </c>
      <c r="J39" s="2">
        <f>AVERAGE(Table31[DSL Platform Java]) - J38</f>
        <v>129.20000000000002</v>
      </c>
      <c r="K39" s="2">
        <f>AVERAGE(Table31[Genson]) - K38</f>
        <v>537.20000000000005</v>
      </c>
      <c r="L39" s="2">
        <f>AVERAGE(Table31[Boon]) - L38</f>
        <v>294.39999999999998</v>
      </c>
      <c r="M39" s="2">
        <f>AVERAGE(Table31[Alibaba]) - M38</f>
        <v>260.79999999999995</v>
      </c>
      <c r="N39" s="2">
        <f>AVERAGE(Table31[Gson]) - N38</f>
        <v>264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465.59999999999997</v>
      </c>
      <c r="D40" s="2">
        <f t="shared" si="0"/>
        <v>163.20000000000002</v>
      </c>
      <c r="E40" s="2">
        <f t="shared" ref="E40" si="1">E41 - E39 - E38</f>
        <v>438.59999999999997</v>
      </c>
      <c r="F40" s="2">
        <f t="shared" si="0"/>
        <v>397.4</v>
      </c>
      <c r="G40" s="2">
        <f t="shared" si="0"/>
        <v>152.99999999999997</v>
      </c>
      <c r="H40" s="2">
        <f t="shared" si="0"/>
        <v>134.80000000000001</v>
      </c>
      <c r="I40" s="2">
        <f t="shared" ref="I40" si="2">I41 - I39 - I38</f>
        <v>289.80000000000007</v>
      </c>
      <c r="J40" s="2">
        <f t="shared" ref="J40" si="3">J41 - J39 - J38</f>
        <v>72.599999999999966</v>
      </c>
      <c r="K40" s="2">
        <f t="shared" ref="K40:L40" si="4">K41 - K39 - K38</f>
        <v>531.79999999999995</v>
      </c>
      <c r="L40" s="2">
        <f t="shared" si="4"/>
        <v>741.2</v>
      </c>
      <c r="M40" s="2">
        <f t="shared" ref="M40" si="5">M41 - M39 - M38</f>
        <v>325.80000000000007</v>
      </c>
      <c r="N40" s="2">
        <f t="shared" ref="N40" si="6">N41 - N39 - N38</f>
        <v>291.00000000000006</v>
      </c>
      <c r="O40" s="2"/>
      <c r="P40" s="2"/>
      <c r="Q40" s="2"/>
    </row>
    <row r="41" spans="2:17">
      <c r="B41" t="s">
        <v>25</v>
      </c>
      <c r="C41" s="2">
        <f>AVERAGE(Table33[Newtonsoft])</f>
        <v>774.2</v>
      </c>
      <c r="D41" s="2">
        <f>AVERAGE(Table33[Revenj])</f>
        <v>322.60000000000002</v>
      </c>
      <c r="E41" s="2">
        <f>AVERAGE(Table33[fastJSON])</f>
        <v>724.4</v>
      </c>
      <c r="F41" s="2">
        <f>AVERAGE(Table33[Service Stack])</f>
        <v>817.4</v>
      </c>
      <c r="G41" s="2">
        <f>AVERAGE(Table33[Jil])</f>
        <v>389.4</v>
      </c>
      <c r="H41" s="2">
        <f>AVERAGE(Table33[NetJSON])</f>
        <v>307.8</v>
      </c>
      <c r="I41" s="2">
        <f>AVERAGE(Table33[Jackson])</f>
        <v>677.2</v>
      </c>
      <c r="J41" s="2">
        <f>AVERAGE(Table33[DSL Platform Java])</f>
        <v>344.2</v>
      </c>
      <c r="K41" s="2">
        <f>AVERAGE(Table33[Genson])</f>
        <v>1210.2</v>
      </c>
      <c r="L41" s="2">
        <f>AVERAGE(Table33[Boon])</f>
        <v>1179</v>
      </c>
      <c r="M41" s="2">
        <f>AVERAGE(Table33[Alibaba])</f>
        <v>733.2</v>
      </c>
      <c r="N41" s="2">
        <f>AVERAGE(Table33[Gson])</f>
        <v>698.2</v>
      </c>
      <c r="O41" s="2"/>
      <c r="P41" s="2"/>
      <c r="Q41" s="2"/>
    </row>
    <row r="42" spans="2:17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AVERAGE(Table31[fastJSON (size)])</f>
        <v>3346489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3346883</v>
      </c>
      <c r="J42" s="2">
        <f>AVERAGE(Table31[DSL Platform Java (size)])</f>
        <v>3346868</v>
      </c>
      <c r="K42" s="2">
        <f>AVERAGE(Table31[Genson (size)])</f>
        <v>3346889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DEVSQ(Table31[Newtonsoft])</f>
        <v>65.2</v>
      </c>
      <c r="D47" s="2">
        <f>DEVSQ(Table31[Revenj])</f>
        <v>1.2</v>
      </c>
      <c r="E47" s="2">
        <f>DEVSQ(Table31[fastJSON])</f>
        <v>22.8</v>
      </c>
      <c r="F47" s="2">
        <f>DEVSQ(Table31[Service Stack])</f>
        <v>14</v>
      </c>
      <c r="G47" s="2">
        <f>DEVSQ(Table31[Jil])</f>
        <v>5.2</v>
      </c>
      <c r="H47" s="2">
        <f>DEVSQ(Table31[NetJSON])</f>
        <v>0</v>
      </c>
      <c r="I47" s="2">
        <f>DEVSQ(Table31[Jackson])</f>
        <v>77.2</v>
      </c>
      <c r="J47" s="2">
        <f>DEVSQ(Table31[DSL Platform Java])</f>
        <v>81.2</v>
      </c>
      <c r="K47" s="2">
        <f>DEVSQ(Table31[Genson])</f>
        <v>79.2</v>
      </c>
      <c r="L47" s="2">
        <f>DEVSQ(Table31[Boon])</f>
        <v>318.80000000000007</v>
      </c>
      <c r="M47" s="2">
        <f>DEVSQ(Table31[Alibaba])</f>
        <v>83.2</v>
      </c>
      <c r="N47" s="2">
        <f>DEVSQ(Table31[Gson])</f>
        <v>26.8</v>
      </c>
      <c r="O47" s="2"/>
      <c r="P47" s="2"/>
      <c r="Q47" s="2"/>
    </row>
    <row r="48" spans="2:17">
      <c r="B48" t="s">
        <v>25</v>
      </c>
      <c r="C48" s="2">
        <f>DEVSQ(Table33[Newtonsoft])</f>
        <v>56.800000000000004</v>
      </c>
      <c r="D48" s="2">
        <f>DEVSQ(Table33[Revenj])</f>
        <v>39.200000000000003</v>
      </c>
      <c r="E48" s="2">
        <f>DEVSQ(Table33[fastJSON])</f>
        <v>421.19999999999993</v>
      </c>
      <c r="F48" s="2">
        <f>DEVSQ(Table33[Service Stack])</f>
        <v>145.19999999999999</v>
      </c>
      <c r="G48" s="2">
        <f>DEVSQ(Table33[Jil])</f>
        <v>45.2</v>
      </c>
      <c r="H48" s="2">
        <f>DEVSQ(Table33[NetJSON])</f>
        <v>14.8</v>
      </c>
      <c r="I48" s="2">
        <f>DEVSQ(Table33[Jackson])</f>
        <v>482.8</v>
      </c>
      <c r="J48" s="2">
        <f>DEVSQ(Table33[DSL Platform Java])</f>
        <v>26.8</v>
      </c>
      <c r="K48" s="2">
        <f>DEVSQ(Table33[Genson])</f>
        <v>29736.799999999999</v>
      </c>
      <c r="L48" s="2">
        <f>DEVSQ(Table33[Boon])</f>
        <v>1014</v>
      </c>
      <c r="M48" s="2">
        <f>DEVSQ(Table33[Alibaba])</f>
        <v>38.799999999999997</v>
      </c>
      <c r="N48" s="2">
        <f>DEVSQ(Table33[Gson])</f>
        <v>454.8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67</v>
      </c>
      <c r="C52">
        <v>63</v>
      </c>
      <c r="D52">
        <v>64</v>
      </c>
      <c r="E52">
        <v>63</v>
      </c>
      <c r="F52">
        <v>63</v>
      </c>
      <c r="G52">
        <v>63</v>
      </c>
      <c r="H52">
        <v>142</v>
      </c>
      <c r="I52">
        <v>142</v>
      </c>
      <c r="J52">
        <v>141</v>
      </c>
      <c r="K52">
        <v>143</v>
      </c>
      <c r="L52">
        <v>148</v>
      </c>
      <c r="M52">
        <v>144</v>
      </c>
    </row>
    <row r="53" spans="2:25">
      <c r="B53">
        <v>67</v>
      </c>
      <c r="C53">
        <v>63</v>
      </c>
      <c r="D53">
        <v>64</v>
      </c>
      <c r="E53">
        <v>63</v>
      </c>
      <c r="F53">
        <v>62</v>
      </c>
      <c r="G53">
        <v>63</v>
      </c>
      <c r="H53">
        <v>141</v>
      </c>
      <c r="I53">
        <v>142</v>
      </c>
      <c r="J53">
        <v>140</v>
      </c>
      <c r="K53">
        <v>144</v>
      </c>
      <c r="L53">
        <v>148</v>
      </c>
      <c r="M53">
        <v>143</v>
      </c>
    </row>
    <row r="54" spans="2:25">
      <c r="B54">
        <v>67</v>
      </c>
      <c r="C54">
        <v>63</v>
      </c>
      <c r="D54">
        <v>64</v>
      </c>
      <c r="E54">
        <v>62</v>
      </c>
      <c r="F54">
        <v>63</v>
      </c>
      <c r="G54">
        <v>63</v>
      </c>
      <c r="H54">
        <v>142</v>
      </c>
      <c r="I54">
        <v>143</v>
      </c>
      <c r="J54">
        <v>142</v>
      </c>
      <c r="K54">
        <v>144</v>
      </c>
      <c r="L54">
        <v>145</v>
      </c>
      <c r="M54">
        <v>143</v>
      </c>
    </row>
    <row r="55" spans="2:25">
      <c r="B55">
        <v>67</v>
      </c>
      <c r="C55">
        <v>63</v>
      </c>
      <c r="D55">
        <v>65</v>
      </c>
      <c r="E55">
        <v>62</v>
      </c>
      <c r="F55">
        <v>63</v>
      </c>
      <c r="G55">
        <v>63</v>
      </c>
      <c r="H55">
        <v>142</v>
      </c>
      <c r="I55">
        <v>142</v>
      </c>
      <c r="J55">
        <v>142</v>
      </c>
      <c r="K55">
        <v>143</v>
      </c>
      <c r="L55">
        <v>148</v>
      </c>
      <c r="M55">
        <v>142</v>
      </c>
    </row>
    <row r="56" spans="2:25">
      <c r="B56">
        <v>68</v>
      </c>
      <c r="C56">
        <v>63</v>
      </c>
      <c r="D56">
        <v>64</v>
      </c>
      <c r="E56">
        <v>62</v>
      </c>
      <c r="F56">
        <v>62</v>
      </c>
      <c r="G56">
        <v>62</v>
      </c>
      <c r="H56">
        <v>150</v>
      </c>
      <c r="I56">
        <v>143</v>
      </c>
      <c r="J56">
        <v>141</v>
      </c>
      <c r="K56">
        <v>143</v>
      </c>
      <c r="L56">
        <v>144</v>
      </c>
      <c r="M56">
        <v>144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310</v>
      </c>
      <c r="C60">
        <v>160</v>
      </c>
      <c r="D60">
        <v>288</v>
      </c>
      <c r="E60">
        <v>422</v>
      </c>
      <c r="F60">
        <v>238</v>
      </c>
      <c r="G60">
        <v>173</v>
      </c>
      <c r="H60">
        <v>386</v>
      </c>
      <c r="I60">
        <v>276</v>
      </c>
      <c r="J60">
        <v>685</v>
      </c>
      <c r="K60">
        <v>451</v>
      </c>
      <c r="L60">
        <v>413</v>
      </c>
      <c r="M60">
        <v>406</v>
      </c>
      <c r="N60">
        <v>3346889</v>
      </c>
      <c r="O60">
        <v>3346472</v>
      </c>
      <c r="P60">
        <v>3346489</v>
      </c>
      <c r="Q60">
        <v>3346489</v>
      </c>
      <c r="R60">
        <v>3346489</v>
      </c>
      <c r="S60">
        <v>3346472</v>
      </c>
      <c r="T60">
        <v>3346883</v>
      </c>
      <c r="U60">
        <v>3346868</v>
      </c>
      <c r="V60">
        <v>3346889</v>
      </c>
      <c r="W60">
        <v>3346875</v>
      </c>
      <c r="X60">
        <v>3346689</v>
      </c>
      <c r="Y60">
        <v>3346889</v>
      </c>
    </row>
    <row r="61" spans="2:25">
      <c r="B61">
        <v>313</v>
      </c>
      <c r="C61">
        <v>159</v>
      </c>
      <c r="D61">
        <v>287</v>
      </c>
      <c r="E61">
        <v>422</v>
      </c>
      <c r="F61">
        <v>235</v>
      </c>
      <c r="G61">
        <v>173</v>
      </c>
      <c r="H61">
        <v>395</v>
      </c>
      <c r="I61">
        <v>268</v>
      </c>
      <c r="J61">
        <v>679</v>
      </c>
      <c r="K61">
        <v>443</v>
      </c>
      <c r="L61">
        <v>407</v>
      </c>
      <c r="M61">
        <v>407</v>
      </c>
      <c r="N61">
        <v>3346889</v>
      </c>
      <c r="O61">
        <v>3346472</v>
      </c>
      <c r="P61">
        <v>3346489</v>
      </c>
      <c r="Q61">
        <v>3346489</v>
      </c>
      <c r="R61">
        <v>3346489</v>
      </c>
      <c r="S61">
        <v>3346472</v>
      </c>
      <c r="T61">
        <v>3346883</v>
      </c>
      <c r="U61">
        <v>3346868</v>
      </c>
      <c r="V61">
        <v>3346889</v>
      </c>
      <c r="W61">
        <v>3346875</v>
      </c>
      <c r="X61">
        <v>3346689</v>
      </c>
      <c r="Y61">
        <v>3346889</v>
      </c>
    </row>
    <row r="62" spans="2:25">
      <c r="B62">
        <v>302</v>
      </c>
      <c r="C62">
        <v>159</v>
      </c>
      <c r="D62">
        <v>287</v>
      </c>
      <c r="E62">
        <v>419</v>
      </c>
      <c r="F62">
        <v>237</v>
      </c>
      <c r="G62">
        <v>173</v>
      </c>
      <c r="H62">
        <v>387</v>
      </c>
      <c r="I62">
        <v>277</v>
      </c>
      <c r="J62">
        <v>676</v>
      </c>
      <c r="K62">
        <v>430</v>
      </c>
      <c r="L62">
        <v>411</v>
      </c>
      <c r="M62">
        <v>408</v>
      </c>
      <c r="N62">
        <v>3346889</v>
      </c>
      <c r="O62">
        <v>3346472</v>
      </c>
      <c r="P62">
        <v>3346489</v>
      </c>
      <c r="Q62">
        <v>3346489</v>
      </c>
      <c r="R62">
        <v>3346489</v>
      </c>
      <c r="S62">
        <v>3346472</v>
      </c>
      <c r="T62">
        <v>3346883</v>
      </c>
      <c r="U62">
        <v>3346868</v>
      </c>
      <c r="V62">
        <v>3346889</v>
      </c>
      <c r="W62">
        <v>3346875</v>
      </c>
      <c r="X62">
        <v>3346689</v>
      </c>
      <c r="Y62">
        <v>3346889</v>
      </c>
    </row>
    <row r="63" spans="2:25">
      <c r="B63">
        <v>309</v>
      </c>
      <c r="C63">
        <v>160</v>
      </c>
      <c r="D63">
        <v>285</v>
      </c>
      <c r="E63">
        <v>418</v>
      </c>
      <c r="F63">
        <v>236</v>
      </c>
      <c r="G63">
        <v>173</v>
      </c>
      <c r="H63">
        <v>384</v>
      </c>
      <c r="I63">
        <v>268</v>
      </c>
      <c r="J63">
        <v>673</v>
      </c>
      <c r="K63">
        <v>433</v>
      </c>
      <c r="L63">
        <v>403</v>
      </c>
      <c r="M63">
        <v>404</v>
      </c>
      <c r="N63">
        <v>3346889</v>
      </c>
      <c r="O63">
        <v>3346472</v>
      </c>
      <c r="P63">
        <v>3346489</v>
      </c>
      <c r="Q63">
        <v>3346489</v>
      </c>
      <c r="R63">
        <v>3346489</v>
      </c>
      <c r="S63">
        <v>3346472</v>
      </c>
      <c r="T63">
        <v>3346883</v>
      </c>
      <c r="U63">
        <v>3346868</v>
      </c>
      <c r="V63">
        <v>3346889</v>
      </c>
      <c r="W63">
        <v>3346875</v>
      </c>
      <c r="X63">
        <v>3346689</v>
      </c>
      <c r="Y63">
        <v>3346889</v>
      </c>
    </row>
    <row r="64" spans="2:25">
      <c r="B64">
        <v>309</v>
      </c>
      <c r="C64">
        <v>159</v>
      </c>
      <c r="D64">
        <v>282</v>
      </c>
      <c r="E64">
        <v>419</v>
      </c>
      <c r="F64">
        <v>236</v>
      </c>
      <c r="G64">
        <v>173</v>
      </c>
      <c r="H64">
        <v>385</v>
      </c>
      <c r="I64">
        <v>269</v>
      </c>
      <c r="J64">
        <v>679</v>
      </c>
      <c r="K64">
        <v>432</v>
      </c>
      <c r="L64">
        <v>403</v>
      </c>
      <c r="M64">
        <v>411</v>
      </c>
      <c r="N64">
        <v>3346889</v>
      </c>
      <c r="O64">
        <v>3346472</v>
      </c>
      <c r="P64">
        <v>3346489</v>
      </c>
      <c r="Q64">
        <v>3346489</v>
      </c>
      <c r="R64">
        <v>3346489</v>
      </c>
      <c r="S64">
        <v>3346472</v>
      </c>
      <c r="T64">
        <v>3346883</v>
      </c>
      <c r="U64">
        <v>3346868</v>
      </c>
      <c r="V64">
        <v>3346889</v>
      </c>
      <c r="W64">
        <v>3346875</v>
      </c>
      <c r="X64">
        <v>3346689</v>
      </c>
      <c r="Y64">
        <v>3346889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774</v>
      </c>
      <c r="C68">
        <v>321</v>
      </c>
      <c r="D68">
        <v>720</v>
      </c>
      <c r="E68">
        <v>812</v>
      </c>
      <c r="F68">
        <v>387</v>
      </c>
      <c r="G68">
        <v>307</v>
      </c>
      <c r="H68">
        <v>666</v>
      </c>
      <c r="I68">
        <v>343</v>
      </c>
      <c r="J68">
        <v>1203</v>
      </c>
      <c r="K68">
        <v>1173</v>
      </c>
      <c r="L68">
        <v>735</v>
      </c>
      <c r="M68">
        <v>689</v>
      </c>
    </row>
    <row r="69" spans="2:13">
      <c r="B69">
        <v>772</v>
      </c>
      <c r="C69">
        <v>328</v>
      </c>
      <c r="D69">
        <v>740</v>
      </c>
      <c r="E69">
        <v>816</v>
      </c>
      <c r="F69">
        <v>387</v>
      </c>
      <c r="G69">
        <v>308</v>
      </c>
      <c r="H69">
        <v>666</v>
      </c>
      <c r="I69">
        <v>341</v>
      </c>
      <c r="J69">
        <v>1064</v>
      </c>
      <c r="K69">
        <v>1158</v>
      </c>
      <c r="L69">
        <v>730</v>
      </c>
      <c r="M69">
        <v>688</v>
      </c>
    </row>
    <row r="70" spans="2:13">
      <c r="B70">
        <v>770</v>
      </c>
      <c r="C70">
        <v>320</v>
      </c>
      <c r="D70">
        <v>714</v>
      </c>
      <c r="E70">
        <v>813</v>
      </c>
      <c r="F70">
        <v>390</v>
      </c>
      <c r="G70">
        <v>311</v>
      </c>
      <c r="H70">
        <v>683</v>
      </c>
      <c r="I70">
        <v>344</v>
      </c>
      <c r="J70">
        <v>1278</v>
      </c>
      <c r="K70">
        <v>1201</v>
      </c>
      <c r="L70">
        <v>737</v>
      </c>
      <c r="M70">
        <v>695</v>
      </c>
    </row>
    <row r="71" spans="2:13">
      <c r="B71">
        <v>780</v>
      </c>
      <c r="C71">
        <v>322</v>
      </c>
      <c r="D71">
        <v>729</v>
      </c>
      <c r="E71">
        <v>827</v>
      </c>
      <c r="F71">
        <v>395</v>
      </c>
      <c r="G71">
        <v>306</v>
      </c>
      <c r="H71">
        <v>691</v>
      </c>
      <c r="I71">
        <v>345</v>
      </c>
      <c r="J71">
        <v>1258</v>
      </c>
      <c r="K71">
        <v>1177</v>
      </c>
      <c r="L71">
        <v>734</v>
      </c>
      <c r="M71">
        <v>709</v>
      </c>
    </row>
    <row r="72" spans="2:13">
      <c r="B72">
        <v>775</v>
      </c>
      <c r="C72">
        <v>322</v>
      </c>
      <c r="D72">
        <v>719</v>
      </c>
      <c r="E72">
        <v>819</v>
      </c>
      <c r="F72">
        <v>388</v>
      </c>
      <c r="G72">
        <v>307</v>
      </c>
      <c r="H72">
        <v>680</v>
      </c>
      <c r="I72">
        <v>348</v>
      </c>
      <c r="J72">
        <v>1248</v>
      </c>
      <c r="K72">
        <v>1186</v>
      </c>
      <c r="L72">
        <v>730</v>
      </c>
      <c r="M72">
        <v>710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40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AVERAGE(Table37[Newtonsoft])</f>
        <v>582.6</v>
      </c>
      <c r="D38" s="2">
        <f>AVERAGE(Table37[Revenj])</f>
        <v>537.4</v>
      </c>
      <c r="E38" s="2">
        <f>AVERAGE(Table37[fastJSON])</f>
        <v>552.79999999999995</v>
      </c>
      <c r="F38" s="2">
        <f>AVERAGE(Table37[Service Stack])</f>
        <v>534.6</v>
      </c>
      <c r="G38" s="2">
        <f>AVERAGE(Table37[Jil])</f>
        <v>537.4</v>
      </c>
      <c r="H38" s="2">
        <f>AVERAGE(Table37[NetJSON])</f>
        <v>537.20000000000005</v>
      </c>
      <c r="I38" s="2">
        <f>AVERAGE(Table37[Jackson])</f>
        <v>490.4</v>
      </c>
      <c r="J38" s="2">
        <f>AVERAGE(Table37[DSL Platform Java])</f>
        <v>488.4</v>
      </c>
      <c r="K38" s="2">
        <f>AVERAGE(Table37[Genson])</f>
        <v>487.8</v>
      </c>
      <c r="L38" s="2">
        <f>AVERAGE(Table37[Boon])</f>
        <v>491.2</v>
      </c>
      <c r="M38" s="2">
        <f>AVERAGE(Table37[Alibaba])</f>
        <v>504.8</v>
      </c>
      <c r="N38" s="2">
        <f>AVERAGE(Table37[Gson])</f>
        <v>484.4</v>
      </c>
      <c r="O38" s="2"/>
      <c r="P38" s="2"/>
      <c r="Q38" s="2"/>
    </row>
    <row r="39" spans="2:17">
      <c r="B39" t="s">
        <v>0</v>
      </c>
      <c r="C39" s="2">
        <f>AVERAGE(Table36[Newtonsoft]) - C38</f>
        <v>2460.4</v>
      </c>
      <c r="D39" s="2">
        <f>AVERAGE(Table36[Revenj]) - D38</f>
        <v>995.6</v>
      </c>
      <c r="E39" s="2">
        <f>AVERAGE(Table36[fastJSON]) - E38</f>
        <v>2253.8000000000002</v>
      </c>
      <c r="F39" s="2">
        <f>AVERAGE(Table36[Service Stack]) - F38</f>
        <v>3512.6</v>
      </c>
      <c r="G39" s="2">
        <f>AVERAGE(Table36[Jil]) - G38</f>
        <v>1755.6</v>
      </c>
      <c r="H39" s="2">
        <f>AVERAGE(Table36[NetJSON]) - H38</f>
        <v>1096.8</v>
      </c>
      <c r="I39" s="2">
        <f>AVERAGE(Table36[Jackson]) - I38</f>
        <v>1098.4000000000001</v>
      </c>
      <c r="J39" s="2">
        <f>AVERAGE(Table36[DSL Platform Java]) - J38</f>
        <v>495</v>
      </c>
      <c r="K39" s="2">
        <f>AVERAGE(Table36[Genson]) - K38</f>
        <v>3694.3999999999996</v>
      </c>
      <c r="L39" s="2">
        <f>AVERAGE(Table36[Boon]) - L38</f>
        <v>1757.9999999999998</v>
      </c>
      <c r="M39" s="2">
        <f>AVERAGE(Table36[Alibaba]) - M38</f>
        <v>968.60000000000014</v>
      </c>
      <c r="N39" s="2">
        <f>AVERAGE(Table36[Gson]) - N38</f>
        <v>1721.4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4562.7999999999993</v>
      </c>
      <c r="D40" s="2">
        <f t="shared" si="0"/>
        <v>1570.6</v>
      </c>
      <c r="E40" s="2">
        <f t="shared" ref="E40" si="1">E41 - E39 - E38</f>
        <v>4398</v>
      </c>
      <c r="F40" s="2">
        <f t="shared" si="0"/>
        <v>3611.7999999999997</v>
      </c>
      <c r="G40" s="2">
        <f t="shared" si="0"/>
        <v>1436.6</v>
      </c>
      <c r="H40" s="2">
        <f t="shared" si="0"/>
        <v>1378.4</v>
      </c>
      <c r="I40" s="2">
        <f t="shared" ref="I40" si="2">I41 - I39 - I38</f>
        <v>1468.3999999999996</v>
      </c>
      <c r="J40" s="2">
        <f t="shared" ref="J40" si="3">J41 - J39 - J38</f>
        <v>435.4</v>
      </c>
      <c r="K40" s="2">
        <f t="shared" ref="K40:L40" si="4">K41 - K39 - K38</f>
        <v>4293.8</v>
      </c>
      <c r="L40" s="2">
        <f t="shared" si="4"/>
        <v>6774.5999999999995</v>
      </c>
      <c r="M40" s="2">
        <f t="shared" ref="M40" si="5">M41 - M39 - M38</f>
        <v>1732.5999999999997</v>
      </c>
      <c r="N40" s="2">
        <f t="shared" ref="N40" si="6">N41 - N39 - N38</f>
        <v>2036</v>
      </c>
      <c r="O40" s="2"/>
      <c r="P40" s="2"/>
      <c r="Q40" s="2"/>
    </row>
    <row r="41" spans="2:17">
      <c r="B41" t="s">
        <v>25</v>
      </c>
      <c r="C41" s="2">
        <f>AVERAGE(Table38[Newtonsoft])</f>
        <v>7605.8</v>
      </c>
      <c r="D41" s="2">
        <f>AVERAGE(Table38[Revenj])</f>
        <v>3103.6</v>
      </c>
      <c r="E41" s="2">
        <f>AVERAGE(Table38[fastJSON])</f>
        <v>7204.6</v>
      </c>
      <c r="F41" s="2">
        <f>AVERAGE(Table38[Service Stack])</f>
        <v>7659</v>
      </c>
      <c r="G41" s="2">
        <f>AVERAGE(Table38[Jil])</f>
        <v>3729.6</v>
      </c>
      <c r="H41" s="2">
        <f>AVERAGE(Table38[NetJSON])</f>
        <v>3012.4</v>
      </c>
      <c r="I41" s="2">
        <f>AVERAGE(Table38[Jackson])</f>
        <v>3057.2</v>
      </c>
      <c r="J41" s="2">
        <f>AVERAGE(Table38[DSL Platform Java])</f>
        <v>1418.8</v>
      </c>
      <c r="K41" s="2">
        <f>AVERAGE(Table38[Genson])</f>
        <v>8476</v>
      </c>
      <c r="L41" s="2">
        <f>AVERAGE(Table38[Boon])</f>
        <v>9023.7999999999993</v>
      </c>
      <c r="M41" s="2">
        <f>AVERAGE(Table38[Alibaba])</f>
        <v>3206</v>
      </c>
      <c r="N41" s="2">
        <f>AVERAGE(Table38[Gson])</f>
        <v>4241.8</v>
      </c>
      <c r="O41" s="2"/>
      <c r="P41" s="2"/>
      <c r="Q41" s="2"/>
    </row>
    <row r="42" spans="2:17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AVERAGE(Table36[fastJSON (size)])</f>
        <v>36444889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36448883</v>
      </c>
      <c r="J42" s="2">
        <f>AVERAGE(Table36[DSL Platform Java (size)])</f>
        <v>36448868</v>
      </c>
      <c r="K42" s="2">
        <f>AVERAGE(Table36[Genson (size)])</f>
        <v>36448889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DEVSQ(Table36[Newtonsoft])</f>
        <v>7260</v>
      </c>
      <c r="D47" s="2">
        <f>DEVSQ(Table36[Revenj])</f>
        <v>230</v>
      </c>
      <c r="E47" s="2">
        <f>DEVSQ(Table36[fastJSON])</f>
        <v>441.20000000000005</v>
      </c>
      <c r="F47" s="2">
        <f>DEVSQ(Table36[Service Stack])</f>
        <v>1810.8</v>
      </c>
      <c r="G47" s="2">
        <f>DEVSQ(Table36[Jil])</f>
        <v>3002</v>
      </c>
      <c r="H47" s="2">
        <f>DEVSQ(Table36[NetJSON])</f>
        <v>78</v>
      </c>
      <c r="I47" s="2">
        <f>DEVSQ(Table36[Jackson])</f>
        <v>28100.799999999999</v>
      </c>
      <c r="J47" s="2">
        <f>DEVSQ(Table36[DSL Platform Java])</f>
        <v>25.200000000000003</v>
      </c>
      <c r="K47" s="2">
        <f>DEVSQ(Table36[Genson])</f>
        <v>16208.8</v>
      </c>
      <c r="L47" s="2">
        <f>DEVSQ(Table36[Boon])</f>
        <v>16590.8</v>
      </c>
      <c r="M47" s="2">
        <f>DEVSQ(Table36[Alibaba])</f>
        <v>1881.2</v>
      </c>
      <c r="N47" s="2">
        <f>DEVSQ(Table36[Gson])</f>
        <v>404.79999999999995</v>
      </c>
      <c r="O47" s="2"/>
      <c r="P47" s="2"/>
      <c r="Q47" s="2"/>
    </row>
    <row r="48" spans="2:17">
      <c r="B48" t="s">
        <v>25</v>
      </c>
      <c r="C48" s="2">
        <f>DEVSQ(Table38[Newtonsoft])</f>
        <v>11802.8</v>
      </c>
      <c r="D48" s="2">
        <f>DEVSQ(Table38[Revenj])</f>
        <v>909.2</v>
      </c>
      <c r="E48" s="2">
        <f>DEVSQ(Table38[fastJSON])</f>
        <v>28169.200000000001</v>
      </c>
      <c r="F48" s="2">
        <f>DEVSQ(Table38[Service Stack])</f>
        <v>11224</v>
      </c>
      <c r="G48" s="2">
        <f>DEVSQ(Table38[Jil])</f>
        <v>1475.2</v>
      </c>
      <c r="H48" s="2">
        <f>DEVSQ(Table38[NetJSON])</f>
        <v>1023.2</v>
      </c>
      <c r="I48" s="2">
        <f>DEVSQ(Table38[Jackson])</f>
        <v>42100.799999999996</v>
      </c>
      <c r="J48" s="2">
        <f>DEVSQ(Table38[DSL Platform Java])</f>
        <v>6398.8</v>
      </c>
      <c r="K48" s="2">
        <f>DEVSQ(Table38[Genson])</f>
        <v>44766</v>
      </c>
      <c r="L48" s="2">
        <f>DEVSQ(Table38[Boon])</f>
        <v>40816.800000000003</v>
      </c>
      <c r="M48" s="2">
        <f>DEVSQ(Table38[Alibaba])</f>
        <v>23464</v>
      </c>
      <c r="N48" s="2">
        <f>DEVSQ(Table38[Gson])</f>
        <v>6896.8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579</v>
      </c>
      <c r="C52">
        <v>540</v>
      </c>
      <c r="D52">
        <v>560</v>
      </c>
      <c r="E52">
        <v>538</v>
      </c>
      <c r="F52">
        <v>542</v>
      </c>
      <c r="G52">
        <v>531</v>
      </c>
      <c r="H52">
        <v>489</v>
      </c>
      <c r="I52">
        <v>491</v>
      </c>
      <c r="J52">
        <v>485</v>
      </c>
      <c r="K52">
        <v>490</v>
      </c>
      <c r="L52">
        <v>533</v>
      </c>
      <c r="M52">
        <v>484</v>
      </c>
    </row>
    <row r="53" spans="2:25">
      <c r="B53">
        <v>577</v>
      </c>
      <c r="C53">
        <v>534</v>
      </c>
      <c r="D53">
        <v>547</v>
      </c>
      <c r="E53">
        <v>534</v>
      </c>
      <c r="F53">
        <v>544</v>
      </c>
      <c r="G53">
        <v>533</v>
      </c>
      <c r="H53">
        <v>487</v>
      </c>
      <c r="I53">
        <v>490</v>
      </c>
      <c r="J53">
        <v>487</v>
      </c>
      <c r="K53">
        <v>486</v>
      </c>
      <c r="L53">
        <v>488</v>
      </c>
      <c r="M53">
        <v>485</v>
      </c>
    </row>
    <row r="54" spans="2:25">
      <c r="B54">
        <v>591</v>
      </c>
      <c r="C54">
        <v>534</v>
      </c>
      <c r="D54">
        <v>555</v>
      </c>
      <c r="E54">
        <v>529</v>
      </c>
      <c r="F54">
        <v>532</v>
      </c>
      <c r="G54">
        <v>542</v>
      </c>
      <c r="H54">
        <v>497</v>
      </c>
      <c r="I54">
        <v>486</v>
      </c>
      <c r="J54">
        <v>492</v>
      </c>
      <c r="K54">
        <v>487</v>
      </c>
      <c r="L54">
        <v>488</v>
      </c>
      <c r="M54">
        <v>484</v>
      </c>
    </row>
    <row r="55" spans="2:25">
      <c r="B55">
        <v>589</v>
      </c>
      <c r="C55">
        <v>541</v>
      </c>
      <c r="D55">
        <v>552</v>
      </c>
      <c r="E55">
        <v>541</v>
      </c>
      <c r="F55">
        <v>534</v>
      </c>
      <c r="G55">
        <v>539</v>
      </c>
      <c r="H55">
        <v>489</v>
      </c>
      <c r="I55">
        <v>488</v>
      </c>
      <c r="J55">
        <v>487</v>
      </c>
      <c r="K55">
        <v>506</v>
      </c>
      <c r="L55">
        <v>530</v>
      </c>
      <c r="M55">
        <v>485</v>
      </c>
    </row>
    <row r="56" spans="2:25">
      <c r="B56">
        <v>577</v>
      </c>
      <c r="C56">
        <v>538</v>
      </c>
      <c r="D56">
        <v>550</v>
      </c>
      <c r="E56">
        <v>531</v>
      </c>
      <c r="F56">
        <v>535</v>
      </c>
      <c r="G56">
        <v>541</v>
      </c>
      <c r="H56">
        <v>490</v>
      </c>
      <c r="I56">
        <v>487</v>
      </c>
      <c r="J56">
        <v>488</v>
      </c>
      <c r="K56">
        <v>487</v>
      </c>
      <c r="L56">
        <v>485</v>
      </c>
      <c r="M56">
        <v>484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3062</v>
      </c>
      <c r="C60">
        <v>1531</v>
      </c>
      <c r="D60">
        <v>2815</v>
      </c>
      <c r="E60">
        <v>4047</v>
      </c>
      <c r="F60">
        <v>2300</v>
      </c>
      <c r="G60">
        <v>1634</v>
      </c>
      <c r="H60">
        <v>1735</v>
      </c>
      <c r="I60">
        <v>983</v>
      </c>
      <c r="J60">
        <v>4174</v>
      </c>
      <c r="K60">
        <v>2222</v>
      </c>
      <c r="L60">
        <v>1450</v>
      </c>
      <c r="M60">
        <v>2212</v>
      </c>
      <c r="N60">
        <v>36448889</v>
      </c>
      <c r="O60">
        <v>36444872</v>
      </c>
      <c r="P60">
        <v>36444889</v>
      </c>
      <c r="Q60">
        <v>36444889</v>
      </c>
      <c r="R60">
        <v>36444889</v>
      </c>
      <c r="S60">
        <v>36444872</v>
      </c>
      <c r="T60">
        <v>36448883</v>
      </c>
      <c r="U60">
        <v>36448868</v>
      </c>
      <c r="V60">
        <v>36448889</v>
      </c>
      <c r="W60">
        <v>36448875</v>
      </c>
      <c r="X60">
        <v>36446889</v>
      </c>
      <c r="Y60">
        <v>36448889</v>
      </c>
    </row>
    <row r="61" spans="2:25">
      <c r="B61">
        <v>3076</v>
      </c>
      <c r="C61">
        <v>1534</v>
      </c>
      <c r="D61">
        <v>2797</v>
      </c>
      <c r="E61">
        <v>4026</v>
      </c>
      <c r="F61">
        <v>2270</v>
      </c>
      <c r="G61">
        <v>1641</v>
      </c>
      <c r="H61">
        <v>1571</v>
      </c>
      <c r="I61">
        <v>983</v>
      </c>
      <c r="J61">
        <v>4080</v>
      </c>
      <c r="K61">
        <v>2218</v>
      </c>
      <c r="L61">
        <v>1485</v>
      </c>
      <c r="M61">
        <v>2196</v>
      </c>
      <c r="N61">
        <v>36448889</v>
      </c>
      <c r="O61">
        <v>36444872</v>
      </c>
      <c r="P61">
        <v>36444889</v>
      </c>
      <c r="Q61">
        <v>36444889</v>
      </c>
      <c r="R61">
        <v>36444889</v>
      </c>
      <c r="S61">
        <v>36444872</v>
      </c>
      <c r="T61">
        <v>36448883</v>
      </c>
      <c r="U61">
        <v>36448868</v>
      </c>
      <c r="V61">
        <v>36448889</v>
      </c>
      <c r="W61">
        <v>36448875</v>
      </c>
      <c r="X61">
        <v>36446889</v>
      </c>
      <c r="Y61">
        <v>36448889</v>
      </c>
    </row>
    <row r="62" spans="2:25">
      <c r="B62">
        <v>3028</v>
      </c>
      <c r="C62">
        <v>1543</v>
      </c>
      <c r="D62">
        <v>2794</v>
      </c>
      <c r="E62">
        <v>4070</v>
      </c>
      <c r="F62">
        <v>2315</v>
      </c>
      <c r="G62">
        <v>1629</v>
      </c>
      <c r="H62">
        <v>1529</v>
      </c>
      <c r="I62">
        <v>980</v>
      </c>
      <c r="J62">
        <v>4187</v>
      </c>
      <c r="K62">
        <v>2314</v>
      </c>
      <c r="L62">
        <v>1453</v>
      </c>
      <c r="M62">
        <v>2220</v>
      </c>
      <c r="N62">
        <v>36448889</v>
      </c>
      <c r="O62">
        <v>36444872</v>
      </c>
      <c r="P62">
        <v>36444889</v>
      </c>
      <c r="Q62">
        <v>36444889</v>
      </c>
      <c r="R62">
        <v>36444889</v>
      </c>
      <c r="S62">
        <v>36444872</v>
      </c>
      <c r="T62">
        <v>36448883</v>
      </c>
      <c r="U62">
        <v>36448868</v>
      </c>
      <c r="V62">
        <v>36448889</v>
      </c>
      <c r="W62">
        <v>36448875</v>
      </c>
      <c r="X62">
        <v>36446889</v>
      </c>
      <c r="Y62">
        <v>36448889</v>
      </c>
    </row>
    <row r="63" spans="2:25">
      <c r="B63">
        <v>3074</v>
      </c>
      <c r="C63">
        <v>1522</v>
      </c>
      <c r="D63">
        <v>2817</v>
      </c>
      <c r="E63">
        <v>4067</v>
      </c>
      <c r="F63">
        <v>2321</v>
      </c>
      <c r="G63">
        <v>1632</v>
      </c>
      <c r="H63">
        <v>1539</v>
      </c>
      <c r="I63">
        <v>987</v>
      </c>
      <c r="J63">
        <v>4242</v>
      </c>
      <c r="K63">
        <v>2319</v>
      </c>
      <c r="L63">
        <v>1478</v>
      </c>
      <c r="M63">
        <v>2198</v>
      </c>
      <c r="N63">
        <v>36448889</v>
      </c>
      <c r="O63">
        <v>36444872</v>
      </c>
      <c r="P63">
        <v>36444889</v>
      </c>
      <c r="Q63">
        <v>36444889</v>
      </c>
      <c r="R63">
        <v>36444889</v>
      </c>
      <c r="S63">
        <v>36444872</v>
      </c>
      <c r="T63">
        <v>36448883</v>
      </c>
      <c r="U63">
        <v>36448868</v>
      </c>
      <c r="V63">
        <v>36448889</v>
      </c>
      <c r="W63">
        <v>36448875</v>
      </c>
      <c r="X63">
        <v>36446889</v>
      </c>
      <c r="Y63">
        <v>36448889</v>
      </c>
    </row>
    <row r="64" spans="2:25">
      <c r="B64">
        <v>2975</v>
      </c>
      <c r="C64">
        <v>1535</v>
      </c>
      <c r="D64">
        <v>2810</v>
      </c>
      <c r="E64">
        <v>4026</v>
      </c>
      <c r="F64">
        <v>2259</v>
      </c>
      <c r="G64">
        <v>1634</v>
      </c>
      <c r="H64">
        <v>1570</v>
      </c>
      <c r="I64">
        <v>984</v>
      </c>
      <c r="J64">
        <v>4228</v>
      </c>
      <c r="K64">
        <v>2173</v>
      </c>
      <c r="L64">
        <v>1501</v>
      </c>
      <c r="M64">
        <v>2203</v>
      </c>
      <c r="N64">
        <v>36448889</v>
      </c>
      <c r="O64">
        <v>36444872</v>
      </c>
      <c r="P64">
        <v>36444889</v>
      </c>
      <c r="Q64">
        <v>36444889</v>
      </c>
      <c r="R64">
        <v>36444889</v>
      </c>
      <c r="S64">
        <v>36444872</v>
      </c>
      <c r="T64">
        <v>36448883</v>
      </c>
      <c r="U64">
        <v>36448868</v>
      </c>
      <c r="V64">
        <v>36448889</v>
      </c>
      <c r="W64">
        <v>36448875</v>
      </c>
      <c r="X64">
        <v>36446889</v>
      </c>
      <c r="Y64">
        <v>36448889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7652</v>
      </c>
      <c r="C68">
        <v>3111</v>
      </c>
      <c r="D68">
        <v>7110</v>
      </c>
      <c r="E68">
        <v>7740</v>
      </c>
      <c r="F68">
        <v>3754</v>
      </c>
      <c r="G68">
        <v>2993</v>
      </c>
      <c r="H68">
        <v>3165</v>
      </c>
      <c r="I68">
        <v>1390</v>
      </c>
      <c r="J68">
        <v>8537</v>
      </c>
      <c r="K68">
        <v>8984</v>
      </c>
      <c r="L68">
        <v>3161</v>
      </c>
      <c r="M68">
        <v>4293</v>
      </c>
    </row>
    <row r="69" spans="2:13">
      <c r="B69">
        <v>7581</v>
      </c>
      <c r="C69">
        <v>3078</v>
      </c>
      <c r="D69">
        <v>7278</v>
      </c>
      <c r="E69">
        <v>7664</v>
      </c>
      <c r="F69">
        <v>3703</v>
      </c>
      <c r="G69">
        <v>3015</v>
      </c>
      <c r="H69">
        <v>3080</v>
      </c>
      <c r="I69">
        <v>1400</v>
      </c>
      <c r="J69">
        <v>8521</v>
      </c>
      <c r="K69">
        <v>9082</v>
      </c>
      <c r="L69">
        <v>3208</v>
      </c>
      <c r="M69">
        <v>4202</v>
      </c>
    </row>
    <row r="70" spans="2:13">
      <c r="B70">
        <v>7579</v>
      </c>
      <c r="C70">
        <v>3104</v>
      </c>
      <c r="D70">
        <v>7169</v>
      </c>
      <c r="E70">
        <v>7624</v>
      </c>
      <c r="F70">
        <v>3741</v>
      </c>
      <c r="G70">
        <v>3001</v>
      </c>
      <c r="H70">
        <v>3137</v>
      </c>
      <c r="I70">
        <v>1479</v>
      </c>
      <c r="J70">
        <v>8366</v>
      </c>
      <c r="K70">
        <v>9038</v>
      </c>
      <c r="L70">
        <v>3111</v>
      </c>
      <c r="M70">
        <v>4280</v>
      </c>
    </row>
    <row r="71" spans="2:13">
      <c r="B71">
        <v>7673</v>
      </c>
      <c r="C71">
        <v>3108</v>
      </c>
      <c r="D71">
        <v>7307</v>
      </c>
      <c r="E71">
        <v>7601</v>
      </c>
      <c r="F71">
        <v>3725</v>
      </c>
      <c r="G71">
        <v>3019</v>
      </c>
      <c r="H71">
        <v>2925</v>
      </c>
      <c r="I71">
        <v>1385</v>
      </c>
      <c r="J71">
        <v>8362</v>
      </c>
      <c r="K71">
        <v>8875</v>
      </c>
      <c r="L71">
        <v>3313</v>
      </c>
      <c r="M71">
        <v>4218</v>
      </c>
    </row>
    <row r="72" spans="2:13">
      <c r="B72">
        <v>7544</v>
      </c>
      <c r="C72">
        <v>3117</v>
      </c>
      <c r="D72">
        <v>7159</v>
      </c>
      <c r="E72">
        <v>7666</v>
      </c>
      <c r="F72">
        <v>3725</v>
      </c>
      <c r="G72">
        <v>3034</v>
      </c>
      <c r="H72">
        <v>2979</v>
      </c>
      <c r="I72">
        <v>1440</v>
      </c>
      <c r="J72">
        <v>8594</v>
      </c>
      <c r="K72">
        <v>9140</v>
      </c>
      <c r="L72">
        <v>3237</v>
      </c>
      <c r="M72">
        <v>4216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A51" sqref="A5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41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AVERAGE(Table42[Newtonsoft])</f>
        <v>5864.2</v>
      </c>
      <c r="D38" s="2">
        <f>AVERAGE(Table42[Revenj])</f>
        <v>5300</v>
      </c>
      <c r="E38" s="2">
        <f>AVERAGE(Table42[fastJSON])</f>
        <v>5582.8</v>
      </c>
      <c r="F38" s="2">
        <f>AVERAGE(Table42[Service Stack])</f>
        <v>5460.2</v>
      </c>
      <c r="G38" s="2">
        <f>AVERAGE(Table42[Jil])</f>
        <v>5435.2</v>
      </c>
      <c r="H38" s="2">
        <f>AVERAGE(Table42[NetJSON])</f>
        <v>5478.8</v>
      </c>
      <c r="I38" s="2">
        <f>AVERAGE(Table42[Jackson])</f>
        <v>4435</v>
      </c>
      <c r="J38" s="2">
        <f>AVERAGE(Table42[DSL Platform Java])</f>
        <v>4305.6000000000004</v>
      </c>
      <c r="K38" s="2">
        <f>AVERAGE(Table42[Genson])</f>
        <v>4339.8</v>
      </c>
      <c r="L38" s="2">
        <f>AVERAGE(Table42[Boon])</f>
        <v>4332.8</v>
      </c>
      <c r="M38" s="2">
        <f>AVERAGE(Table42[Alibaba])</f>
        <v>4422.2</v>
      </c>
      <c r="N38" s="2">
        <f>AVERAGE(Table42[Gson])</f>
        <v>4321.3999999999996</v>
      </c>
      <c r="O38" s="2"/>
      <c r="P38" s="2"/>
      <c r="Q38" s="2"/>
    </row>
    <row r="39" spans="2:17">
      <c r="B39" t="s">
        <v>0</v>
      </c>
      <c r="C39" s="2">
        <f>AVERAGE(Table41[Newtonsoft]) - C38</f>
        <v>24708.2</v>
      </c>
      <c r="D39" s="2">
        <f>AVERAGE(Table41[Revenj]) - D38</f>
        <v>10378</v>
      </c>
      <c r="E39" s="2">
        <f>AVERAGE(Table41[fastJSON]) - E38</f>
        <v>23045.600000000002</v>
      </c>
      <c r="F39" s="2">
        <f>AVERAGE(Table41[Service Stack]) - F38</f>
        <v>33289</v>
      </c>
      <c r="G39" s="2">
        <f>AVERAGE(Table41[Jil]) - G38</f>
        <v>17471</v>
      </c>
      <c r="H39" s="2">
        <f>AVERAGE(Table41[NetJSON]) - H38</f>
        <v>11163.600000000002</v>
      </c>
      <c r="I39" s="2">
        <f>AVERAGE(Table41[Jackson]) - I38</f>
        <v>9481</v>
      </c>
      <c r="J39" s="2">
        <f>AVERAGE(Table41[DSL Platform Java]) - J38</f>
        <v>4473</v>
      </c>
      <c r="K39" s="2">
        <f>AVERAGE(Table41[Genson]) - K38</f>
        <v>36167</v>
      </c>
      <c r="L39" s="2">
        <f>AVERAGE(Table41[Boon]) - L38</f>
        <v>16102.400000000001</v>
      </c>
      <c r="M39" s="2">
        <f>AVERAGE(Table41[Alibaba]) - M38</f>
        <v>7746.8</v>
      </c>
      <c r="N39" s="2">
        <f>AVERAGE(Table41[Gson]) - N38</f>
        <v>14893.6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45774.600000000006</v>
      </c>
      <c r="D40" s="2">
        <f t="shared" si="0"/>
        <v>15813.2</v>
      </c>
      <c r="E40" s="2">
        <f t="shared" ref="E40" si="1">E41 - E39 - E38</f>
        <v>43742.999999999985</v>
      </c>
      <c r="F40" s="2">
        <f t="shared" si="0"/>
        <v>37163</v>
      </c>
      <c r="G40" s="2">
        <f t="shared" si="0"/>
        <v>15347.999999999996</v>
      </c>
      <c r="H40" s="2">
        <f t="shared" si="0"/>
        <v>14072.399999999998</v>
      </c>
      <c r="I40" s="2">
        <f t="shared" ref="I40" si="2">I41 - I39 - I38</f>
        <v>12381.2</v>
      </c>
      <c r="J40" s="2">
        <f t="shared" ref="J40" si="3">J41 - J39 - J38</f>
        <v>3336.7999999999993</v>
      </c>
      <c r="K40" s="2">
        <f t="shared" ref="K40:L40" si="4">K41 - K39 - K38</f>
        <v>41465.800000000003</v>
      </c>
      <c r="L40" s="2">
        <f t="shared" si="4"/>
        <v>68150.999999999985</v>
      </c>
      <c r="M40" s="2">
        <f t="shared" ref="M40" si="5">M41 - M39 - M38</f>
        <v>16964.8</v>
      </c>
      <c r="N40" s="2">
        <f t="shared" ref="N40" si="6">N41 - N39 - N38</f>
        <v>21474.800000000003</v>
      </c>
      <c r="O40" s="2"/>
      <c r="P40" s="2"/>
      <c r="Q40" s="2"/>
    </row>
    <row r="41" spans="2:17">
      <c r="B41" t="s">
        <v>25</v>
      </c>
      <c r="C41" s="2">
        <f>AVERAGE(Table43[Newtonsoft])</f>
        <v>76347</v>
      </c>
      <c r="D41" s="2">
        <f>AVERAGE(Table43[Revenj])</f>
        <v>31491.200000000001</v>
      </c>
      <c r="E41" s="2">
        <f>AVERAGE(Table43[fastJSON])</f>
        <v>72371.399999999994</v>
      </c>
      <c r="F41" s="2">
        <f>AVERAGE(Table43[Service Stack])</f>
        <v>75912.2</v>
      </c>
      <c r="G41" s="2">
        <f>AVERAGE(Table43[Jil])</f>
        <v>38254.199999999997</v>
      </c>
      <c r="H41" s="2">
        <f>AVERAGE(Table43[NetJSON])</f>
        <v>30714.799999999999</v>
      </c>
      <c r="I41" s="2">
        <f>AVERAGE(Table43[Jackson])</f>
        <v>26297.200000000001</v>
      </c>
      <c r="J41" s="2">
        <f>AVERAGE(Table43[DSL Platform Java])</f>
        <v>12115.4</v>
      </c>
      <c r="K41" s="2">
        <f>AVERAGE(Table43[Genson])</f>
        <v>81972.600000000006</v>
      </c>
      <c r="L41" s="2">
        <f>AVERAGE(Table43[Boon])</f>
        <v>88586.2</v>
      </c>
      <c r="M41" s="2">
        <f>AVERAGE(Table43[Alibaba])</f>
        <v>29133.8</v>
      </c>
      <c r="N41" s="2">
        <f>AVERAGE(Table43[Gson])</f>
        <v>40689.800000000003</v>
      </c>
      <c r="O41" s="2"/>
      <c r="P41" s="2"/>
      <c r="Q41" s="2"/>
    </row>
    <row r="42" spans="2:17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AVERAGE(Table41[fastJSON (size)])</f>
        <v>394428889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394468883</v>
      </c>
      <c r="J42" s="2">
        <f>AVERAGE(Table41[DSL Platform Java (size)])</f>
        <v>394468868</v>
      </c>
      <c r="K42" s="2">
        <f>AVERAGE(Table41[Genson (size)])</f>
        <v>394468889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DEVSQ(Table41[Newtonsoft])</f>
        <v>402027.2</v>
      </c>
      <c r="D47" s="2">
        <f>DEVSQ(Table41[Revenj])</f>
        <v>13470</v>
      </c>
      <c r="E47" s="2">
        <f>DEVSQ(Table41[fastJSON])</f>
        <v>24027.199999999997</v>
      </c>
      <c r="F47" s="2">
        <f>DEVSQ(Table41[Service Stack])</f>
        <v>105064.8</v>
      </c>
      <c r="G47" s="2">
        <f>DEVSQ(Table41[Jil])</f>
        <v>234462.8</v>
      </c>
      <c r="H47" s="2">
        <f>DEVSQ(Table41[NetJSON])</f>
        <v>27555.199999999993</v>
      </c>
      <c r="I47" s="2">
        <f>DEVSQ(Table41[Jackson])</f>
        <v>4945162</v>
      </c>
      <c r="J47" s="2">
        <f>DEVSQ(Table41[DSL Platform Java])</f>
        <v>16107.2</v>
      </c>
      <c r="K47" s="2">
        <f>DEVSQ(Table41[Genson])</f>
        <v>421064.80000000005</v>
      </c>
      <c r="L47" s="2">
        <f>DEVSQ(Table41[Boon])</f>
        <v>1001406.7999999999</v>
      </c>
      <c r="M47" s="2">
        <f>DEVSQ(Table41[Alibaba])</f>
        <v>779686</v>
      </c>
      <c r="N47" s="2">
        <f>DEVSQ(Table41[Gson])</f>
        <v>1199550</v>
      </c>
      <c r="O47" s="2"/>
      <c r="P47" s="2"/>
      <c r="Q47" s="2"/>
    </row>
    <row r="48" spans="2:17">
      <c r="B48" t="s">
        <v>25</v>
      </c>
      <c r="C48" s="2">
        <f>DEVSQ(Table43[Newtonsoft])</f>
        <v>119904</v>
      </c>
      <c r="D48" s="2">
        <f>DEVSQ(Table43[Revenj])</f>
        <v>63338.8</v>
      </c>
      <c r="E48" s="2">
        <f>DEVSQ(Table43[fastJSON])</f>
        <v>200033.19999999998</v>
      </c>
      <c r="F48" s="2">
        <f>DEVSQ(Table43[Service Stack])</f>
        <v>572594.80000000005</v>
      </c>
      <c r="G48" s="2">
        <f>DEVSQ(Table43[Jil])</f>
        <v>42294.8</v>
      </c>
      <c r="H48" s="2">
        <f>DEVSQ(Table43[NetJSON])</f>
        <v>41214.800000000003</v>
      </c>
      <c r="I48" s="2">
        <f>DEVSQ(Table43[Jackson])</f>
        <v>7705498.7999999989</v>
      </c>
      <c r="J48" s="2">
        <f>DEVSQ(Table43[DSL Platform Java])</f>
        <v>622791.19999999995</v>
      </c>
      <c r="K48" s="2">
        <f>DEVSQ(Table43[Genson])</f>
        <v>8209109.1999999993</v>
      </c>
      <c r="L48" s="2">
        <f>DEVSQ(Table43[Boon])</f>
        <v>7991750.7999999989</v>
      </c>
      <c r="M48" s="2">
        <f>DEVSQ(Table43[Alibaba])</f>
        <v>6226030.7999999998</v>
      </c>
      <c r="N48" s="2">
        <f>DEVSQ(Table43[Gson])</f>
        <v>4846806.8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5836</v>
      </c>
      <c r="C52">
        <v>5290</v>
      </c>
      <c r="D52">
        <v>5575</v>
      </c>
      <c r="E52">
        <v>5502</v>
      </c>
      <c r="F52">
        <v>5479</v>
      </c>
      <c r="G52">
        <v>5477</v>
      </c>
      <c r="H52">
        <v>4309</v>
      </c>
      <c r="I52">
        <v>4320</v>
      </c>
      <c r="J52">
        <v>4461</v>
      </c>
      <c r="K52">
        <v>4356</v>
      </c>
      <c r="L52">
        <v>4387</v>
      </c>
      <c r="M52">
        <v>4345</v>
      </c>
    </row>
    <row r="53" spans="2:25">
      <c r="B53">
        <v>5897</v>
      </c>
      <c r="C53">
        <v>5293</v>
      </c>
      <c r="D53">
        <v>5570</v>
      </c>
      <c r="E53">
        <v>5431</v>
      </c>
      <c r="F53">
        <v>5467</v>
      </c>
      <c r="G53">
        <v>5395</v>
      </c>
      <c r="H53">
        <v>4809</v>
      </c>
      <c r="I53">
        <v>4293</v>
      </c>
      <c r="J53">
        <v>4292</v>
      </c>
      <c r="K53">
        <v>4326</v>
      </c>
      <c r="L53">
        <v>4314</v>
      </c>
      <c r="M53">
        <v>4305</v>
      </c>
    </row>
    <row r="54" spans="2:25">
      <c r="B54">
        <v>5907</v>
      </c>
      <c r="C54">
        <v>5309</v>
      </c>
      <c r="D54">
        <v>5565</v>
      </c>
      <c r="E54">
        <v>5449</v>
      </c>
      <c r="F54">
        <v>5429</v>
      </c>
      <c r="G54">
        <v>5487</v>
      </c>
      <c r="H54">
        <v>4461</v>
      </c>
      <c r="I54">
        <v>4305</v>
      </c>
      <c r="J54">
        <v>4349</v>
      </c>
      <c r="K54">
        <v>4323</v>
      </c>
      <c r="L54">
        <v>4315</v>
      </c>
      <c r="M54">
        <v>4360</v>
      </c>
    </row>
    <row r="55" spans="2:25">
      <c r="B55">
        <v>5893</v>
      </c>
      <c r="C55">
        <v>5293</v>
      </c>
      <c r="D55">
        <v>5593</v>
      </c>
      <c r="E55">
        <v>5534</v>
      </c>
      <c r="F55">
        <v>5416</v>
      </c>
      <c r="G55">
        <v>5579</v>
      </c>
      <c r="H55">
        <v>4298</v>
      </c>
      <c r="I55">
        <v>4301</v>
      </c>
      <c r="J55">
        <v>4289</v>
      </c>
      <c r="K55">
        <v>4309</v>
      </c>
      <c r="L55">
        <v>4347</v>
      </c>
      <c r="M55">
        <v>4301</v>
      </c>
    </row>
    <row r="56" spans="2:25">
      <c r="B56">
        <v>5788</v>
      </c>
      <c r="C56">
        <v>5315</v>
      </c>
      <c r="D56">
        <v>5611</v>
      </c>
      <c r="E56">
        <v>5385</v>
      </c>
      <c r="F56">
        <v>5385</v>
      </c>
      <c r="G56">
        <v>5456</v>
      </c>
      <c r="H56">
        <v>4298</v>
      </c>
      <c r="I56">
        <v>4309</v>
      </c>
      <c r="J56">
        <v>4308</v>
      </c>
      <c r="K56">
        <v>4350</v>
      </c>
      <c r="L56">
        <v>4748</v>
      </c>
      <c r="M56">
        <v>4296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30200</v>
      </c>
      <c r="C60">
        <v>15604</v>
      </c>
      <c r="D60">
        <v>28722</v>
      </c>
      <c r="E60">
        <v>38882</v>
      </c>
      <c r="F60">
        <v>23111</v>
      </c>
      <c r="G60">
        <v>16502</v>
      </c>
      <c r="H60">
        <v>13053</v>
      </c>
      <c r="I60">
        <v>8771</v>
      </c>
      <c r="J60">
        <v>40503</v>
      </c>
      <c r="K60">
        <v>20687</v>
      </c>
      <c r="L60">
        <v>11981</v>
      </c>
      <c r="M60">
        <v>19500</v>
      </c>
      <c r="N60">
        <v>394468889</v>
      </c>
      <c r="O60">
        <v>394428872</v>
      </c>
      <c r="P60">
        <v>394428889</v>
      </c>
      <c r="Q60">
        <v>394428889</v>
      </c>
      <c r="R60">
        <v>394428889</v>
      </c>
      <c r="S60">
        <v>394428872</v>
      </c>
      <c r="T60">
        <v>394468883</v>
      </c>
      <c r="U60">
        <v>394468868</v>
      </c>
      <c r="V60">
        <v>394468889</v>
      </c>
      <c r="W60">
        <v>394468875</v>
      </c>
      <c r="X60">
        <v>394448889</v>
      </c>
      <c r="Y60">
        <v>394468889</v>
      </c>
    </row>
    <row r="61" spans="2:25">
      <c r="B61">
        <v>30864</v>
      </c>
      <c r="C61">
        <v>15648</v>
      </c>
      <c r="D61">
        <v>28522</v>
      </c>
      <c r="E61">
        <v>38583</v>
      </c>
      <c r="F61">
        <v>23047</v>
      </c>
      <c r="G61">
        <v>16717</v>
      </c>
      <c r="H61">
        <v>13339</v>
      </c>
      <c r="I61">
        <v>8830</v>
      </c>
      <c r="J61">
        <v>40801</v>
      </c>
      <c r="K61">
        <v>20752</v>
      </c>
      <c r="L61">
        <v>12019</v>
      </c>
      <c r="M61">
        <v>19323</v>
      </c>
      <c r="N61">
        <v>394468889</v>
      </c>
      <c r="O61">
        <v>394428872</v>
      </c>
      <c r="P61">
        <v>394428889</v>
      </c>
      <c r="Q61">
        <v>394428889</v>
      </c>
      <c r="R61">
        <v>394428889</v>
      </c>
      <c r="S61">
        <v>394428872</v>
      </c>
      <c r="T61">
        <v>394468883</v>
      </c>
      <c r="U61">
        <v>394468868</v>
      </c>
      <c r="V61">
        <v>394468889</v>
      </c>
      <c r="W61">
        <v>394468875</v>
      </c>
      <c r="X61">
        <v>394448889</v>
      </c>
      <c r="Y61">
        <v>394468889</v>
      </c>
    </row>
    <row r="62" spans="2:25">
      <c r="B62">
        <v>30942</v>
      </c>
      <c r="C62">
        <v>15697</v>
      </c>
      <c r="D62">
        <v>28584</v>
      </c>
      <c r="E62">
        <v>38595</v>
      </c>
      <c r="F62">
        <v>23087</v>
      </c>
      <c r="G62">
        <v>16679</v>
      </c>
      <c r="H62">
        <v>14118</v>
      </c>
      <c r="I62">
        <v>8816</v>
      </c>
      <c r="J62">
        <v>40741</v>
      </c>
      <c r="K62">
        <v>20233</v>
      </c>
      <c r="L62">
        <v>11757</v>
      </c>
      <c r="M62">
        <v>19312</v>
      </c>
      <c r="N62">
        <v>394468889</v>
      </c>
      <c r="O62">
        <v>394428872</v>
      </c>
      <c r="P62">
        <v>394428889</v>
      </c>
      <c r="Q62">
        <v>394428889</v>
      </c>
      <c r="R62">
        <v>394428889</v>
      </c>
      <c r="S62">
        <v>394428872</v>
      </c>
      <c r="T62">
        <v>394468883</v>
      </c>
      <c r="U62">
        <v>394468868</v>
      </c>
      <c r="V62">
        <v>394468889</v>
      </c>
      <c r="W62">
        <v>394468875</v>
      </c>
      <c r="X62">
        <v>394448889</v>
      </c>
      <c r="Y62">
        <v>394468889</v>
      </c>
    </row>
    <row r="63" spans="2:25">
      <c r="B63">
        <v>30426</v>
      </c>
      <c r="C63">
        <v>15681</v>
      </c>
      <c r="D63">
        <v>28670</v>
      </c>
      <c r="E63">
        <v>38939</v>
      </c>
      <c r="F63">
        <v>22670</v>
      </c>
      <c r="G63">
        <v>16641</v>
      </c>
      <c r="H63">
        <v>15772</v>
      </c>
      <c r="I63">
        <v>8804</v>
      </c>
      <c r="J63">
        <v>40511</v>
      </c>
      <c r="K63">
        <v>20856</v>
      </c>
      <c r="L63">
        <v>12912</v>
      </c>
      <c r="M63">
        <v>18271</v>
      </c>
      <c r="N63">
        <v>394468889</v>
      </c>
      <c r="O63">
        <v>394428872</v>
      </c>
      <c r="P63">
        <v>394428889</v>
      </c>
      <c r="Q63">
        <v>394428889</v>
      </c>
      <c r="R63">
        <v>394428889</v>
      </c>
      <c r="S63">
        <v>394428872</v>
      </c>
      <c r="T63">
        <v>394468883</v>
      </c>
      <c r="U63">
        <v>394468868</v>
      </c>
      <c r="V63">
        <v>394468889</v>
      </c>
      <c r="W63">
        <v>394468875</v>
      </c>
      <c r="X63">
        <v>394448889</v>
      </c>
      <c r="Y63">
        <v>394468889</v>
      </c>
    </row>
    <row r="64" spans="2:25">
      <c r="B64">
        <v>30430</v>
      </c>
      <c r="C64">
        <v>15760</v>
      </c>
      <c r="D64">
        <v>28644</v>
      </c>
      <c r="E64">
        <v>38747</v>
      </c>
      <c r="F64">
        <v>22616</v>
      </c>
      <c r="G64">
        <v>16673</v>
      </c>
      <c r="H64">
        <v>13298</v>
      </c>
      <c r="I64">
        <v>8672</v>
      </c>
      <c r="J64">
        <v>39978</v>
      </c>
      <c r="K64">
        <v>19648</v>
      </c>
      <c r="L64">
        <v>12176</v>
      </c>
      <c r="M64">
        <v>19669</v>
      </c>
      <c r="N64">
        <v>394468889</v>
      </c>
      <c r="O64">
        <v>394428872</v>
      </c>
      <c r="P64">
        <v>394428889</v>
      </c>
      <c r="Q64">
        <v>394428889</v>
      </c>
      <c r="R64">
        <v>394428889</v>
      </c>
      <c r="S64">
        <v>394428872</v>
      </c>
      <c r="T64">
        <v>394468883</v>
      </c>
      <c r="U64">
        <v>394468868</v>
      </c>
      <c r="V64">
        <v>394468889</v>
      </c>
      <c r="W64">
        <v>394468875</v>
      </c>
      <c r="X64">
        <v>394448889</v>
      </c>
      <c r="Y64">
        <v>394468889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76327</v>
      </c>
      <c r="C68">
        <v>31365</v>
      </c>
      <c r="D68">
        <v>72387</v>
      </c>
      <c r="E68">
        <v>76137</v>
      </c>
      <c r="F68">
        <v>38225</v>
      </c>
      <c r="G68">
        <v>30654</v>
      </c>
      <c r="H68">
        <v>25809</v>
      </c>
      <c r="I68">
        <v>12790</v>
      </c>
      <c r="J68">
        <v>81323</v>
      </c>
      <c r="K68">
        <v>89182</v>
      </c>
      <c r="L68">
        <v>28658</v>
      </c>
      <c r="M68">
        <v>42468</v>
      </c>
    </row>
    <row r="69" spans="2:13">
      <c r="B69">
        <v>76443</v>
      </c>
      <c r="C69">
        <v>31557</v>
      </c>
      <c r="D69">
        <v>72298</v>
      </c>
      <c r="E69">
        <v>75550</v>
      </c>
      <c r="F69">
        <v>38124</v>
      </c>
      <c r="G69">
        <v>30792</v>
      </c>
      <c r="H69">
        <v>24810</v>
      </c>
      <c r="I69">
        <v>11830</v>
      </c>
      <c r="J69">
        <v>84454</v>
      </c>
      <c r="K69">
        <v>90119</v>
      </c>
      <c r="L69">
        <v>29995</v>
      </c>
      <c r="M69">
        <v>40245</v>
      </c>
    </row>
    <row r="70" spans="2:13">
      <c r="B70">
        <v>76363</v>
      </c>
      <c r="C70">
        <v>31418</v>
      </c>
      <c r="D70">
        <v>72659</v>
      </c>
      <c r="E70">
        <v>76351</v>
      </c>
      <c r="F70">
        <v>38346</v>
      </c>
      <c r="G70">
        <v>30825</v>
      </c>
      <c r="H70">
        <v>27778</v>
      </c>
      <c r="I70">
        <v>12042</v>
      </c>
      <c r="J70">
        <v>80955</v>
      </c>
      <c r="K70">
        <v>89352</v>
      </c>
      <c r="L70">
        <v>30647</v>
      </c>
      <c r="M70">
        <v>40111</v>
      </c>
    </row>
    <row r="71" spans="2:13">
      <c r="B71">
        <v>76071</v>
      </c>
      <c r="C71">
        <v>31678</v>
      </c>
      <c r="D71">
        <v>72050</v>
      </c>
      <c r="E71">
        <v>76038</v>
      </c>
      <c r="F71">
        <v>38371</v>
      </c>
      <c r="G71">
        <v>30576</v>
      </c>
      <c r="H71">
        <v>25332</v>
      </c>
      <c r="I71">
        <v>11833</v>
      </c>
      <c r="J71">
        <v>81928</v>
      </c>
      <c r="K71">
        <v>87645</v>
      </c>
      <c r="L71">
        <v>27421</v>
      </c>
      <c r="M71">
        <v>39654</v>
      </c>
    </row>
    <row r="72" spans="2:13">
      <c r="B72">
        <v>76531</v>
      </c>
      <c r="C72">
        <v>31438</v>
      </c>
      <c r="D72">
        <v>72463</v>
      </c>
      <c r="E72">
        <v>75485</v>
      </c>
      <c r="F72">
        <v>38205</v>
      </c>
      <c r="G72">
        <v>30727</v>
      </c>
      <c r="H72">
        <v>27757</v>
      </c>
      <c r="I72">
        <v>12082</v>
      </c>
      <c r="J72">
        <v>81203</v>
      </c>
      <c r="K72">
        <v>86633</v>
      </c>
      <c r="L72">
        <v>28948</v>
      </c>
      <c r="M72">
        <v>40971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42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AVERAGE(Table47[Newtonsoft])</f>
        <v>102</v>
      </c>
      <c r="D38" s="2">
        <f>AVERAGE(Table47[Revenj])</f>
        <v>103.2</v>
      </c>
      <c r="E38" s="2">
        <f>AVERAGE(Table47[fastJSON])</f>
        <v>102</v>
      </c>
      <c r="F38" s="2">
        <f>AVERAGE(Table47[Service Stack])</f>
        <v>99.6</v>
      </c>
      <c r="G38" s="2">
        <f>AVERAGE(Table47[Jil])</f>
        <v>99.2</v>
      </c>
      <c r="H38" s="2">
        <f>AVERAGE(Table47[NetJSON])</f>
        <v>101.8</v>
      </c>
      <c r="I38" s="2">
        <f>AVERAGE(Table47[Jackson])</f>
        <v>258.8</v>
      </c>
      <c r="J38" s="2">
        <f>AVERAGE(Table47[DSL Platform Java])</f>
        <v>217.4</v>
      </c>
      <c r="K38" s="2">
        <f>AVERAGE(Table47[Genson])</f>
        <v>257.60000000000002</v>
      </c>
      <c r="L38" s="2">
        <f>AVERAGE(Table47[Boon])</f>
        <v>266.39999999999998</v>
      </c>
      <c r="M38" s="2">
        <f>AVERAGE(Table47[Alibaba])</f>
        <v>268</v>
      </c>
      <c r="N38" s="2">
        <f>AVERAGE(Table47[Gson])</f>
        <v>265.60000000000002</v>
      </c>
      <c r="O38" s="2"/>
      <c r="P38" s="2"/>
      <c r="Q38" s="2"/>
    </row>
    <row r="39" spans="2:17">
      <c r="B39" t="s">
        <v>0</v>
      </c>
      <c r="C39" s="2">
        <f>AVERAGE(Table46[Newtonsoft]) - C38</f>
        <v>329.4</v>
      </c>
      <c r="D39" s="2">
        <f>AVERAGE(Table46[Revenj]) - D38</f>
        <v>113.8</v>
      </c>
      <c r="E39" s="2">
        <f>AVERAGE(Table46[fastJSON]) - E38</f>
        <v>399.4</v>
      </c>
      <c r="F39" s="2">
        <f>AVERAGE(Table46[Service Stack]) - F38</f>
        <v>519.4</v>
      </c>
      <c r="G39" s="2">
        <f>AVERAGE(Table46[Jil]) - G38</f>
        <v>236</v>
      </c>
      <c r="H39" s="2">
        <f>AVERAGE(Table46[NetJSON]) - H38</f>
        <v>184.8</v>
      </c>
      <c r="I39" s="2">
        <f>AVERAGE(Table46[Jackson]) - I38</f>
        <v>301.99999999999994</v>
      </c>
      <c r="J39" s="2">
        <f>AVERAGE(Table46[DSL Platform Java]) - J38</f>
        <v>148.4</v>
      </c>
      <c r="K39" s="2">
        <f>AVERAGE(Table46[Genson]) - K38</f>
        <v>663.8</v>
      </c>
      <c r="L39" s="2">
        <f>AVERAGE(Table46[Boon]) - L38</f>
        <v>382.6</v>
      </c>
      <c r="M39" s="4" t="s">
        <v>53</v>
      </c>
      <c r="N39" s="2">
        <f>AVERAGE(Table46[Gson]) - N38</f>
        <v>546.19999999999993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731.00000000000011</v>
      </c>
      <c r="D40" s="2">
        <f t="shared" si="0"/>
        <v>215.2</v>
      </c>
      <c r="E40" s="2">
        <f t="shared" ref="E40" si="1">E41 - E39 - E38</f>
        <v>736.4</v>
      </c>
      <c r="F40" s="2">
        <f t="shared" si="0"/>
        <v>597.79999999999995</v>
      </c>
      <c r="G40" s="2">
        <f t="shared" si="0"/>
        <v>299.00000000000006</v>
      </c>
      <c r="H40" s="2">
        <f t="shared" si="0"/>
        <v>318.60000000000002</v>
      </c>
      <c r="I40" s="2">
        <f t="shared" ref="I40" si="2">I41 - I39 - I38</f>
        <v>530</v>
      </c>
      <c r="J40" s="2">
        <f t="shared" ref="J40" si="3">J41 - J39 - J38</f>
        <v>101.6</v>
      </c>
      <c r="K40" s="2">
        <f t="shared" ref="K40:L40" si="4">K41 - K39 - K38</f>
        <v>440.80000000000007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888.99999999999989</v>
      </c>
      <c r="O40" s="2"/>
      <c r="P40" s="2"/>
      <c r="Q40" s="2"/>
    </row>
    <row r="41" spans="2:17">
      <c r="B41" t="s">
        <v>25</v>
      </c>
      <c r="C41" s="2">
        <f>AVERAGE(Table48[Newtonsoft])</f>
        <v>1162.4000000000001</v>
      </c>
      <c r="D41" s="2">
        <f>AVERAGE(Table48[Revenj])</f>
        <v>432.2</v>
      </c>
      <c r="E41" s="2">
        <f>AVERAGE(Table48[fastJSON])</f>
        <v>1237.8</v>
      </c>
      <c r="F41" s="2">
        <f>AVERAGE(Table48[Service Stack])</f>
        <v>1216.8</v>
      </c>
      <c r="G41" s="2">
        <f>AVERAGE(Table48[Jil])</f>
        <v>634.20000000000005</v>
      </c>
      <c r="H41" s="2">
        <f>AVERAGE(Table48[NetJSON])</f>
        <v>605.20000000000005</v>
      </c>
      <c r="I41" s="2">
        <f>AVERAGE(Table48[Jackson])</f>
        <v>1090.8</v>
      </c>
      <c r="J41" s="2">
        <f>AVERAGE(Table48[DSL Platform Java])</f>
        <v>467.4</v>
      </c>
      <c r="K41" s="2">
        <f>AVERAGE(Table48[Genson])</f>
        <v>1362.2</v>
      </c>
      <c r="L41" s="2" t="e">
        <f>AVERAGE(Table48[Boon])</f>
        <v>#DIV/0!</v>
      </c>
      <c r="M41" s="4" t="s">
        <v>53</v>
      </c>
      <c r="N41" s="2">
        <f>AVERAGE(Table48[Gson])</f>
        <v>1700.8</v>
      </c>
      <c r="O41" s="2"/>
      <c r="P41" s="2"/>
      <c r="Q41" s="2"/>
    </row>
    <row r="42" spans="2:17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AVERAGE(Table46[fastJSON (size)])</f>
        <v>10738890</v>
      </c>
      <c r="F42" s="3">
        <f>AVERAGE(Table46[Service Stack (size)])</f>
        <v>11838890</v>
      </c>
      <c r="G42" s="2">
        <f>AVERAGE(Table46[Jil (size)])</f>
        <v>12238890</v>
      </c>
      <c r="H42" s="2">
        <f>AVERAGE(Table46[NetJSON (size)])</f>
        <v>11188890</v>
      </c>
      <c r="I42" s="2">
        <f>AVERAGE(Table46[Jackson (size)])</f>
        <v>10188890</v>
      </c>
      <c r="J42" s="2">
        <f>AVERAGE(Table46[DSL Platform Java (size)])</f>
        <v>10188890</v>
      </c>
      <c r="K42" s="2">
        <f>AVERAGE(Table46[Genson (size)])</f>
        <v>10938890</v>
      </c>
      <c r="L42" s="2">
        <f>AVERAGE(Table46[Boon (size)])</f>
        <v>8988890</v>
      </c>
      <c r="M42" s="4" t="s">
        <v>53</v>
      </c>
      <c r="N42" s="2">
        <f>AVERAGE(Table46[Gson (size)])</f>
        <v>10938890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DEVSQ(Table46[Newtonsoft])</f>
        <v>5.2</v>
      </c>
      <c r="D47" s="2">
        <f>DEVSQ(Table46[Revenj])</f>
        <v>6</v>
      </c>
      <c r="E47" s="2">
        <f>DEVSQ(Table46[fastJSON])</f>
        <v>5.1999999999999993</v>
      </c>
      <c r="F47" s="2">
        <f>DEVSQ(Table46[Service Stack])</f>
        <v>30</v>
      </c>
      <c r="G47" s="2">
        <f>DEVSQ(Table46[Jil])</f>
        <v>38.799999999999997</v>
      </c>
      <c r="H47" s="2">
        <f>DEVSQ(Table46[NetJSON])</f>
        <v>89.2</v>
      </c>
      <c r="I47" s="2">
        <f>DEVSQ(Table46[Jackson])</f>
        <v>72.800000000000011</v>
      </c>
      <c r="J47" s="2">
        <f>DEVSQ(Table46[DSL Platform Java])</f>
        <v>112.79999999999998</v>
      </c>
      <c r="K47" s="2">
        <f>DEVSQ(Table46[Genson])</f>
        <v>149.19999999999999</v>
      </c>
      <c r="L47" s="2">
        <f>DEVSQ(Table46[Boon])</f>
        <v>530</v>
      </c>
      <c r="M47" s="2">
        <f>DEVSQ(Table46[Alibaba])</f>
        <v>1229.2</v>
      </c>
      <c r="N47" s="2">
        <f>DEVSQ(Table46[Gson])</f>
        <v>402.8</v>
      </c>
      <c r="O47" s="2"/>
      <c r="P47" s="2"/>
      <c r="Q47" s="2"/>
    </row>
    <row r="48" spans="2:17">
      <c r="B48" t="s">
        <v>25</v>
      </c>
      <c r="C48" s="2">
        <f>DEVSQ(Table48[Newtonsoft])</f>
        <v>81.199999999999989</v>
      </c>
      <c r="D48" s="2">
        <f>DEVSQ(Table48[Revenj])</f>
        <v>6.8000000000000007</v>
      </c>
      <c r="E48" s="2">
        <f>DEVSQ(Table48[fastJSON])</f>
        <v>160.80000000000001</v>
      </c>
      <c r="F48" s="2">
        <f>DEVSQ(Table48[Service Stack])</f>
        <v>72.800000000000011</v>
      </c>
      <c r="G48" s="2">
        <f>DEVSQ(Table48[Jil])</f>
        <v>46.800000000000004</v>
      </c>
      <c r="H48" s="2">
        <f>DEVSQ(Table48[NetJSON])</f>
        <v>12.8</v>
      </c>
      <c r="I48" s="2">
        <f>DEVSQ(Table48[Jackson])</f>
        <v>2374.7999999999997</v>
      </c>
      <c r="J48" s="2">
        <f>DEVSQ(Table48[DSL Platform Java])</f>
        <v>567.20000000000005</v>
      </c>
      <c r="K48" s="2">
        <f>DEVSQ(Table48[Genson])</f>
        <v>772.8</v>
      </c>
      <c r="L48" s="2" t="e">
        <f>DEVSQ(Table48[Boon])</f>
        <v>#NUM!</v>
      </c>
      <c r="M48" s="2">
        <f>DEVSQ(Table48[Alibaba])</f>
        <v>3045.2</v>
      </c>
      <c r="N48" s="2">
        <f>DEVSQ(Table48[Gson])</f>
        <v>1774.7999999999997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102</v>
      </c>
      <c r="C52">
        <v>103</v>
      </c>
      <c r="D52">
        <v>102</v>
      </c>
      <c r="E52">
        <v>99</v>
      </c>
      <c r="F52">
        <v>101</v>
      </c>
      <c r="G52">
        <v>101</v>
      </c>
      <c r="H52">
        <v>261</v>
      </c>
      <c r="I52">
        <v>218</v>
      </c>
      <c r="J52">
        <v>257</v>
      </c>
      <c r="K52">
        <v>266</v>
      </c>
      <c r="L52">
        <v>269</v>
      </c>
      <c r="M52">
        <v>265</v>
      </c>
    </row>
    <row r="53" spans="2:25">
      <c r="B53">
        <v>102</v>
      </c>
      <c r="C53">
        <v>103</v>
      </c>
      <c r="D53">
        <v>102</v>
      </c>
      <c r="E53">
        <v>100</v>
      </c>
      <c r="F53">
        <v>98</v>
      </c>
      <c r="G53">
        <v>102</v>
      </c>
      <c r="H53">
        <v>257</v>
      </c>
      <c r="I53">
        <v>217</v>
      </c>
      <c r="J53">
        <v>258</v>
      </c>
      <c r="K53">
        <v>267</v>
      </c>
      <c r="L53">
        <v>268</v>
      </c>
      <c r="M53">
        <v>264</v>
      </c>
    </row>
    <row r="54" spans="2:25">
      <c r="B54">
        <v>103</v>
      </c>
      <c r="C54">
        <v>104</v>
      </c>
      <c r="D54">
        <v>102</v>
      </c>
      <c r="E54">
        <v>99</v>
      </c>
      <c r="F54">
        <v>99</v>
      </c>
      <c r="G54">
        <v>102</v>
      </c>
      <c r="H54">
        <v>258</v>
      </c>
      <c r="I54">
        <v>216</v>
      </c>
      <c r="J54">
        <v>258</v>
      </c>
      <c r="K54">
        <v>266</v>
      </c>
      <c r="L54">
        <v>267</v>
      </c>
      <c r="M54">
        <v>267</v>
      </c>
    </row>
    <row r="55" spans="2:25">
      <c r="B55">
        <v>101</v>
      </c>
      <c r="C55">
        <v>103</v>
      </c>
      <c r="D55">
        <v>102</v>
      </c>
      <c r="E55">
        <v>100</v>
      </c>
      <c r="F55">
        <v>99</v>
      </c>
      <c r="G55">
        <v>102</v>
      </c>
      <c r="H55">
        <v>258</v>
      </c>
      <c r="I55">
        <v>218</v>
      </c>
      <c r="J55">
        <v>257</v>
      </c>
      <c r="K55">
        <v>266</v>
      </c>
      <c r="L55">
        <v>268</v>
      </c>
      <c r="M55">
        <v>266</v>
      </c>
    </row>
    <row r="56" spans="2:25">
      <c r="B56">
        <v>102</v>
      </c>
      <c r="C56">
        <v>103</v>
      </c>
      <c r="D56">
        <v>102</v>
      </c>
      <c r="E56">
        <v>100</v>
      </c>
      <c r="F56">
        <v>99</v>
      </c>
      <c r="G56">
        <v>102</v>
      </c>
      <c r="H56">
        <v>260</v>
      </c>
      <c r="I56">
        <v>218</v>
      </c>
      <c r="J56">
        <v>258</v>
      </c>
      <c r="K56">
        <v>267</v>
      </c>
      <c r="L56">
        <v>268</v>
      </c>
      <c r="M56">
        <v>266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433</v>
      </c>
      <c r="C60">
        <v>215</v>
      </c>
      <c r="D60">
        <v>503</v>
      </c>
      <c r="E60">
        <v>623</v>
      </c>
      <c r="F60">
        <v>335</v>
      </c>
      <c r="G60">
        <v>293</v>
      </c>
      <c r="H60">
        <v>556</v>
      </c>
      <c r="I60">
        <v>360</v>
      </c>
      <c r="J60">
        <v>923</v>
      </c>
      <c r="K60">
        <v>667</v>
      </c>
      <c r="L60">
        <v>2634</v>
      </c>
      <c r="M60">
        <v>825</v>
      </c>
      <c r="N60">
        <v>11938890</v>
      </c>
      <c r="O60">
        <v>10188890</v>
      </c>
      <c r="P60">
        <v>10738890</v>
      </c>
      <c r="Q60">
        <v>11838890</v>
      </c>
      <c r="R60">
        <v>12238890</v>
      </c>
      <c r="S60">
        <v>11188890</v>
      </c>
      <c r="T60">
        <v>10188890</v>
      </c>
      <c r="U60">
        <v>10188890</v>
      </c>
      <c r="V60">
        <v>10938890</v>
      </c>
      <c r="W60">
        <v>8988890</v>
      </c>
      <c r="X60">
        <v>195987050</v>
      </c>
      <c r="Y60">
        <v>10938890</v>
      </c>
    </row>
    <row r="61" spans="2:25">
      <c r="B61">
        <v>431</v>
      </c>
      <c r="C61">
        <v>218</v>
      </c>
      <c r="D61">
        <v>500</v>
      </c>
      <c r="E61">
        <v>619</v>
      </c>
      <c r="F61">
        <v>330</v>
      </c>
      <c r="G61">
        <v>290</v>
      </c>
      <c r="H61">
        <v>567</v>
      </c>
      <c r="I61">
        <v>370</v>
      </c>
      <c r="J61">
        <v>930</v>
      </c>
      <c r="K61">
        <v>652</v>
      </c>
      <c r="L61">
        <v>2595</v>
      </c>
      <c r="M61">
        <v>809</v>
      </c>
      <c r="N61">
        <v>11938890</v>
      </c>
      <c r="O61">
        <v>10188890</v>
      </c>
      <c r="P61">
        <v>10738890</v>
      </c>
      <c r="Q61">
        <v>11838890</v>
      </c>
      <c r="R61">
        <v>12238890</v>
      </c>
      <c r="S61">
        <v>11188890</v>
      </c>
      <c r="T61">
        <v>10188890</v>
      </c>
      <c r="U61">
        <v>10188890</v>
      </c>
      <c r="V61">
        <v>10938890</v>
      </c>
      <c r="W61">
        <v>8988890</v>
      </c>
      <c r="X61">
        <v>195987050</v>
      </c>
      <c r="Y61">
        <v>10938890</v>
      </c>
    </row>
    <row r="62" spans="2:25">
      <c r="B62">
        <v>432</v>
      </c>
      <c r="C62">
        <v>217</v>
      </c>
      <c r="D62">
        <v>502</v>
      </c>
      <c r="E62">
        <v>616</v>
      </c>
      <c r="F62">
        <v>338</v>
      </c>
      <c r="G62">
        <v>283</v>
      </c>
      <c r="H62">
        <v>563</v>
      </c>
      <c r="I62">
        <v>361</v>
      </c>
      <c r="J62">
        <v>916</v>
      </c>
      <c r="K62">
        <v>647</v>
      </c>
      <c r="L62">
        <v>2597</v>
      </c>
      <c r="M62">
        <v>810</v>
      </c>
      <c r="N62">
        <v>11938890</v>
      </c>
      <c r="O62">
        <v>10188890</v>
      </c>
      <c r="P62">
        <v>10738890</v>
      </c>
      <c r="Q62">
        <v>11838890</v>
      </c>
      <c r="R62">
        <v>12238890</v>
      </c>
      <c r="S62">
        <v>11188890</v>
      </c>
      <c r="T62">
        <v>10188890</v>
      </c>
      <c r="U62">
        <v>10188890</v>
      </c>
      <c r="V62">
        <v>10938890</v>
      </c>
      <c r="W62">
        <v>8988890</v>
      </c>
      <c r="X62">
        <v>195987050</v>
      </c>
      <c r="Y62">
        <v>10938890</v>
      </c>
    </row>
    <row r="63" spans="2:25">
      <c r="B63">
        <v>431</v>
      </c>
      <c r="C63">
        <v>217</v>
      </c>
      <c r="D63">
        <v>501</v>
      </c>
      <c r="E63">
        <v>617</v>
      </c>
      <c r="F63">
        <v>337</v>
      </c>
      <c r="G63">
        <v>285</v>
      </c>
      <c r="H63">
        <v>559</v>
      </c>
      <c r="I63">
        <v>372</v>
      </c>
      <c r="J63">
        <v>923</v>
      </c>
      <c r="K63">
        <v>637</v>
      </c>
      <c r="L63">
        <v>2620</v>
      </c>
      <c r="M63">
        <v>817</v>
      </c>
      <c r="N63">
        <v>11938890</v>
      </c>
      <c r="O63">
        <v>10188890</v>
      </c>
      <c r="P63">
        <v>10738890</v>
      </c>
      <c r="Q63">
        <v>11838890</v>
      </c>
      <c r="R63">
        <v>12238890</v>
      </c>
      <c r="S63">
        <v>11188890</v>
      </c>
      <c r="T63">
        <v>10188890</v>
      </c>
      <c r="U63">
        <v>10188890</v>
      </c>
      <c r="V63">
        <v>10938890</v>
      </c>
      <c r="W63">
        <v>8988890</v>
      </c>
      <c r="X63">
        <v>195987050</v>
      </c>
      <c r="Y63">
        <v>10938890</v>
      </c>
    </row>
    <row r="64" spans="2:25">
      <c r="B64">
        <v>430</v>
      </c>
      <c r="C64">
        <v>218</v>
      </c>
      <c r="D64">
        <v>501</v>
      </c>
      <c r="E64">
        <v>620</v>
      </c>
      <c r="F64">
        <v>336</v>
      </c>
      <c r="G64">
        <v>282</v>
      </c>
      <c r="H64">
        <v>559</v>
      </c>
      <c r="I64">
        <v>366</v>
      </c>
      <c r="J64">
        <v>915</v>
      </c>
      <c r="K64">
        <v>642</v>
      </c>
      <c r="L64">
        <v>2626</v>
      </c>
      <c r="M64">
        <v>798</v>
      </c>
      <c r="N64">
        <v>11938890</v>
      </c>
      <c r="O64">
        <v>10188890</v>
      </c>
      <c r="P64">
        <v>10738890</v>
      </c>
      <c r="Q64">
        <v>11838890</v>
      </c>
      <c r="R64">
        <v>12238890</v>
      </c>
      <c r="S64">
        <v>11188890</v>
      </c>
      <c r="T64">
        <v>10188890</v>
      </c>
      <c r="U64">
        <v>10188890</v>
      </c>
      <c r="V64">
        <v>10938890</v>
      </c>
      <c r="W64">
        <v>8988890</v>
      </c>
      <c r="X64">
        <v>195987050</v>
      </c>
      <c r="Y64">
        <v>10938890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1161</v>
      </c>
      <c r="C68">
        <v>430</v>
      </c>
      <c r="D68">
        <v>1246</v>
      </c>
      <c r="E68">
        <v>1211</v>
      </c>
      <c r="F68">
        <v>639</v>
      </c>
      <c r="G68">
        <v>605</v>
      </c>
      <c r="H68">
        <v>1110</v>
      </c>
      <c r="I68">
        <v>458</v>
      </c>
      <c r="J68">
        <v>1372</v>
      </c>
      <c r="L68">
        <v>5926</v>
      </c>
      <c r="M68">
        <v>1687</v>
      </c>
    </row>
    <row r="69" spans="2:13">
      <c r="B69">
        <v>1160</v>
      </c>
      <c r="C69">
        <v>433</v>
      </c>
      <c r="D69">
        <v>1230</v>
      </c>
      <c r="E69">
        <v>1215</v>
      </c>
      <c r="F69">
        <v>630</v>
      </c>
      <c r="G69">
        <v>607</v>
      </c>
      <c r="H69">
        <v>1068</v>
      </c>
      <c r="I69">
        <v>461</v>
      </c>
      <c r="J69">
        <v>1348</v>
      </c>
      <c r="L69">
        <v>5961</v>
      </c>
      <c r="M69">
        <v>1693</v>
      </c>
    </row>
    <row r="70" spans="2:13">
      <c r="B70">
        <v>1168</v>
      </c>
      <c r="C70">
        <v>433</v>
      </c>
      <c r="D70">
        <v>1234</v>
      </c>
      <c r="E70">
        <v>1221</v>
      </c>
      <c r="F70">
        <v>635</v>
      </c>
      <c r="G70">
        <v>607</v>
      </c>
      <c r="H70">
        <v>1112</v>
      </c>
      <c r="I70">
        <v>476</v>
      </c>
      <c r="J70">
        <v>1358</v>
      </c>
      <c r="L70">
        <v>5947</v>
      </c>
      <c r="M70">
        <v>1678</v>
      </c>
    </row>
    <row r="71" spans="2:13">
      <c r="B71">
        <v>1157</v>
      </c>
      <c r="C71">
        <v>433</v>
      </c>
      <c r="D71">
        <v>1242</v>
      </c>
      <c r="E71">
        <v>1221</v>
      </c>
      <c r="F71">
        <v>632</v>
      </c>
      <c r="G71">
        <v>604</v>
      </c>
      <c r="H71">
        <v>1103</v>
      </c>
      <c r="I71">
        <v>458</v>
      </c>
      <c r="J71">
        <v>1352</v>
      </c>
      <c r="L71">
        <v>5992</v>
      </c>
      <c r="M71">
        <v>1726</v>
      </c>
    </row>
    <row r="72" spans="2:13">
      <c r="B72">
        <v>1166</v>
      </c>
      <c r="C72">
        <v>432</v>
      </c>
      <c r="D72">
        <v>1237</v>
      </c>
      <c r="E72">
        <v>1216</v>
      </c>
      <c r="F72">
        <v>635</v>
      </c>
      <c r="G72">
        <v>603</v>
      </c>
      <c r="H72">
        <v>1061</v>
      </c>
      <c r="I72">
        <v>484</v>
      </c>
      <c r="J72">
        <v>1381</v>
      </c>
      <c r="L72">
        <v>5987</v>
      </c>
      <c r="M72">
        <v>1720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43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AVERAGE(Table52[Newtonsoft])</f>
        <v>975.4</v>
      </c>
      <c r="D38" s="2">
        <f>AVERAGE(Table52[Revenj])</f>
        <v>939.6</v>
      </c>
      <c r="E38" s="2">
        <f>AVERAGE(Table52[fastJSON])</f>
        <v>989</v>
      </c>
      <c r="F38" s="2">
        <f>AVERAGE(Table52[Service Stack])</f>
        <v>961.4</v>
      </c>
      <c r="G38" s="2">
        <f>AVERAGE(Table52[Jil])</f>
        <v>952</v>
      </c>
      <c r="H38" s="2">
        <f>AVERAGE(Table52[NetJSON])</f>
        <v>976.6</v>
      </c>
      <c r="I38" s="2">
        <f>AVERAGE(Table52[Jackson])</f>
        <v>764.4</v>
      </c>
      <c r="J38" s="2">
        <f>AVERAGE(Table52[DSL Platform Java])</f>
        <v>701</v>
      </c>
      <c r="K38" s="2">
        <f>AVERAGE(Table52[Genson])</f>
        <v>731.8</v>
      </c>
      <c r="L38" s="2">
        <f>AVERAGE(Table52[Boon])</f>
        <v>739.8</v>
      </c>
      <c r="M38" s="2">
        <f>AVERAGE(Table52[Alibaba])</f>
        <v>740.6</v>
      </c>
      <c r="N38" s="2">
        <f>AVERAGE(Table52[Gson])</f>
        <v>744.4</v>
      </c>
      <c r="O38" s="2"/>
      <c r="P38" s="2"/>
      <c r="Q38" s="2"/>
    </row>
    <row r="39" spans="2:17">
      <c r="B39" t="s">
        <v>0</v>
      </c>
      <c r="C39" s="2">
        <f>AVERAGE(Table51[Newtonsoft]) - C38</f>
        <v>3246.9999999999995</v>
      </c>
      <c r="D39" s="2">
        <f>AVERAGE(Table51[Revenj]) - D38</f>
        <v>1161</v>
      </c>
      <c r="E39" s="2">
        <f>AVERAGE(Table51[fastJSON]) - E38</f>
        <v>3952.8</v>
      </c>
      <c r="F39" s="2">
        <f>AVERAGE(Table51[Service Stack]) - F38</f>
        <v>4489.4000000000005</v>
      </c>
      <c r="G39" s="2">
        <f>AVERAGE(Table51[Jil]) - G38</f>
        <v>2172.6</v>
      </c>
      <c r="H39" s="2">
        <f>AVERAGE(Table51[NetJSON]) - H38</f>
        <v>1706.6</v>
      </c>
      <c r="I39" s="2">
        <f>AVERAGE(Table51[Jackson]) - I38</f>
        <v>1558.6</v>
      </c>
      <c r="J39" s="2">
        <f>AVERAGE(Table51[DSL Platform Java]) - J38</f>
        <v>358.40000000000009</v>
      </c>
      <c r="K39" s="2">
        <f>AVERAGE(Table51[Genson]) - K38</f>
        <v>4847</v>
      </c>
      <c r="L39" s="2">
        <f>AVERAGE(Table51[Boon]) - L38</f>
        <v>2116.1999999999998</v>
      </c>
      <c r="M39" s="4" t="s">
        <v>53</v>
      </c>
      <c r="N39" s="2">
        <f>AVERAGE(Table51[Gson]) - N38</f>
        <v>3199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6995.6</v>
      </c>
      <c r="D40" s="2">
        <f t="shared" si="0"/>
        <v>1983.8000000000002</v>
      </c>
      <c r="E40" s="2">
        <f t="shared" ref="E40" si="1">E41 - E39 - E38</f>
        <v>7076.9999999999991</v>
      </c>
      <c r="F40" s="2">
        <f t="shared" si="0"/>
        <v>7019.5999999999995</v>
      </c>
      <c r="G40" s="2">
        <f t="shared" si="0"/>
        <v>2695.4</v>
      </c>
      <c r="H40" s="2">
        <f t="shared" si="0"/>
        <v>3203.1999999999994</v>
      </c>
      <c r="I40" s="2">
        <f t="shared" ref="I40" si="2">I41 - I39 - I38</f>
        <v>2686.3999999999996</v>
      </c>
      <c r="J40" s="2">
        <f t="shared" ref="J40" si="3">J41 - J39 - J38</f>
        <v>576.59999999999991</v>
      </c>
      <c r="K40" s="2">
        <f t="shared" ref="K40:L40" si="4">K41 - K39 - K38</f>
        <v>4511.5999999999995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5609</v>
      </c>
      <c r="O40" s="2"/>
      <c r="P40" s="2"/>
      <c r="Q40" s="2"/>
    </row>
    <row r="41" spans="2:17">
      <c r="B41" t="s">
        <v>25</v>
      </c>
      <c r="C41" s="2">
        <f>AVERAGE(Table53[Newtonsoft])</f>
        <v>11218</v>
      </c>
      <c r="D41" s="2">
        <f>AVERAGE(Table53[Revenj])</f>
        <v>4084.4</v>
      </c>
      <c r="E41" s="2">
        <f>AVERAGE(Table53[fastJSON])</f>
        <v>12018.8</v>
      </c>
      <c r="F41" s="2">
        <f>AVERAGE(Table53[Service Stack])</f>
        <v>12470.4</v>
      </c>
      <c r="G41" s="2">
        <f>AVERAGE(Table53[Jil])</f>
        <v>5820</v>
      </c>
      <c r="H41" s="2">
        <f>AVERAGE(Table53[NetJSON])</f>
        <v>5886.4</v>
      </c>
      <c r="I41" s="2">
        <f>AVERAGE(Table53[Jackson])</f>
        <v>5009.3999999999996</v>
      </c>
      <c r="J41" s="2">
        <f>AVERAGE(Table53[DSL Platform Java])</f>
        <v>1636</v>
      </c>
      <c r="K41" s="2">
        <f>AVERAGE(Table53[Genson])</f>
        <v>10090.4</v>
      </c>
      <c r="L41" s="2" t="e">
        <f>AVERAGE(Table53[Boon])</f>
        <v>#DIV/0!</v>
      </c>
      <c r="M41" s="4" t="s">
        <v>53</v>
      </c>
      <c r="N41" s="2">
        <f>AVERAGE(Table53[Gson])</f>
        <v>9552.4</v>
      </c>
      <c r="O41" s="2"/>
      <c r="P41" s="2"/>
      <c r="Q41" s="2"/>
    </row>
    <row r="42" spans="2:17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AVERAGE(Table51[fastJSON (size)])</f>
        <v>108388890</v>
      </c>
      <c r="F42" s="3">
        <f>AVERAGE(Table51[Service Stack (size)])</f>
        <v>119388890</v>
      </c>
      <c r="G42" s="2">
        <f>AVERAGE(Table51[Jil (size)])</f>
        <v>123388890</v>
      </c>
      <c r="H42" s="2">
        <f>AVERAGE(Table51[NetJSON (size)])</f>
        <v>112888890</v>
      </c>
      <c r="I42" s="2">
        <f>AVERAGE(Table51[Jackson (size)])</f>
        <v>102888890</v>
      </c>
      <c r="J42" s="2">
        <f>AVERAGE(Table51[DSL Platform Java (size)])</f>
        <v>102888890</v>
      </c>
      <c r="K42" s="2">
        <f>AVERAGE(Table51[Genson (size)])</f>
        <v>110388890</v>
      </c>
      <c r="L42" s="2">
        <f>AVERAGE(Table51[Boon (size)])</f>
        <v>90888890</v>
      </c>
      <c r="M42" s="4" t="s">
        <v>53</v>
      </c>
      <c r="N42" s="2">
        <f>AVERAGE(Table51[Gson (size)])</f>
        <v>110388890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DEVSQ(Table51[Newtonsoft])</f>
        <v>843.2</v>
      </c>
      <c r="D47" s="2">
        <f>DEVSQ(Table51[Revenj])</f>
        <v>549.20000000000005</v>
      </c>
      <c r="E47" s="2">
        <f>DEVSQ(Table51[fastJSON])</f>
        <v>2566.8000000000002</v>
      </c>
      <c r="F47" s="2">
        <f>DEVSQ(Table51[Service Stack])</f>
        <v>3294.8</v>
      </c>
      <c r="G47" s="2">
        <f>DEVSQ(Table51[Jil])</f>
        <v>1341.2</v>
      </c>
      <c r="H47" s="2">
        <f>DEVSQ(Table51[NetJSON])</f>
        <v>594.79999999999995</v>
      </c>
      <c r="I47" s="2">
        <f>DEVSQ(Table51[Jackson])</f>
        <v>49510</v>
      </c>
      <c r="J47" s="2">
        <f>DEVSQ(Table51[DSL Platform Java])</f>
        <v>133.19999999999999</v>
      </c>
      <c r="K47" s="2">
        <f>DEVSQ(Table51[Genson])</f>
        <v>52752.800000000003</v>
      </c>
      <c r="L47" s="2">
        <f>DEVSQ(Table51[Boon])</f>
        <v>83374</v>
      </c>
      <c r="M47" s="2">
        <f>DEVSQ(Table51[Alibaba])</f>
        <v>117329.20000000001</v>
      </c>
      <c r="N47" s="2">
        <f>DEVSQ(Table51[Gson])</f>
        <v>20773.2</v>
      </c>
      <c r="O47" s="2"/>
      <c r="P47" s="2"/>
      <c r="Q47" s="2"/>
    </row>
    <row r="48" spans="2:17">
      <c r="B48" t="s">
        <v>25</v>
      </c>
      <c r="C48" s="2">
        <f>DEVSQ(Table53[Newtonsoft])</f>
        <v>14182</v>
      </c>
      <c r="D48" s="2">
        <f>DEVSQ(Table53[Revenj])</f>
        <v>1565.2</v>
      </c>
      <c r="E48" s="2">
        <f>DEVSQ(Table53[fastJSON])</f>
        <v>15428.8</v>
      </c>
      <c r="F48" s="2">
        <f>DEVSQ(Table53[Service Stack])</f>
        <v>9233.1999999999989</v>
      </c>
      <c r="G48" s="2">
        <f>DEVSQ(Table53[Jil])</f>
        <v>1496</v>
      </c>
      <c r="H48" s="2">
        <f>DEVSQ(Table53[NetJSON])</f>
        <v>3125.2000000000003</v>
      </c>
      <c r="I48" s="2">
        <f>DEVSQ(Table53[Jackson])</f>
        <v>40009.199999999997</v>
      </c>
      <c r="J48" s="2">
        <f>DEVSQ(Table53[DSL Platform Java])</f>
        <v>26170</v>
      </c>
      <c r="K48" s="2">
        <f>DEVSQ(Table53[Genson])</f>
        <v>223859.20000000001</v>
      </c>
      <c r="L48" s="2" t="e">
        <f>DEVSQ(Table53[Boon])</f>
        <v>#NUM!</v>
      </c>
      <c r="M48" s="2">
        <f>DEVSQ(Table53[Alibaba])</f>
        <v>530304.80000000005</v>
      </c>
      <c r="N48" s="2">
        <f>DEVSQ(Table53[Gson])</f>
        <v>86577.2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984</v>
      </c>
      <c r="C52">
        <v>940</v>
      </c>
      <c r="D52">
        <v>1001</v>
      </c>
      <c r="E52">
        <v>966</v>
      </c>
      <c r="F52">
        <v>947</v>
      </c>
      <c r="G52">
        <v>967</v>
      </c>
      <c r="H52">
        <v>761</v>
      </c>
      <c r="I52">
        <v>685</v>
      </c>
      <c r="J52">
        <v>734</v>
      </c>
      <c r="K52">
        <v>737</v>
      </c>
      <c r="L52">
        <v>738</v>
      </c>
      <c r="M52">
        <v>775</v>
      </c>
    </row>
    <row r="53" spans="2:25">
      <c r="B53">
        <v>975</v>
      </c>
      <c r="C53">
        <v>929</v>
      </c>
      <c r="D53">
        <v>994</v>
      </c>
      <c r="E53">
        <v>961</v>
      </c>
      <c r="F53">
        <v>952</v>
      </c>
      <c r="G53">
        <v>965</v>
      </c>
      <c r="H53">
        <v>765</v>
      </c>
      <c r="I53">
        <v>689</v>
      </c>
      <c r="J53">
        <v>733</v>
      </c>
      <c r="K53">
        <v>740</v>
      </c>
      <c r="L53">
        <v>740</v>
      </c>
      <c r="M53">
        <v>735</v>
      </c>
    </row>
    <row r="54" spans="2:25">
      <c r="B54">
        <v>975</v>
      </c>
      <c r="C54">
        <v>949</v>
      </c>
      <c r="D54">
        <v>988</v>
      </c>
      <c r="E54">
        <v>952</v>
      </c>
      <c r="F54">
        <v>948</v>
      </c>
      <c r="G54">
        <v>967</v>
      </c>
      <c r="H54">
        <v>765</v>
      </c>
      <c r="I54">
        <v>686</v>
      </c>
      <c r="J54">
        <v>732</v>
      </c>
      <c r="K54">
        <v>742</v>
      </c>
      <c r="L54">
        <v>741</v>
      </c>
      <c r="M54">
        <v>737</v>
      </c>
    </row>
    <row r="55" spans="2:25">
      <c r="B55">
        <v>974</v>
      </c>
      <c r="C55">
        <v>942</v>
      </c>
      <c r="D55">
        <v>983</v>
      </c>
      <c r="E55">
        <v>959</v>
      </c>
      <c r="F55">
        <v>959</v>
      </c>
      <c r="G55">
        <v>1018</v>
      </c>
      <c r="H55">
        <v>737</v>
      </c>
      <c r="I55">
        <v>685</v>
      </c>
      <c r="J55">
        <v>729</v>
      </c>
      <c r="K55">
        <v>737</v>
      </c>
      <c r="L55">
        <v>745</v>
      </c>
      <c r="M55">
        <v>738</v>
      </c>
    </row>
    <row r="56" spans="2:25">
      <c r="B56">
        <v>969</v>
      </c>
      <c r="C56">
        <v>938</v>
      </c>
      <c r="D56">
        <v>979</v>
      </c>
      <c r="E56">
        <v>969</v>
      </c>
      <c r="F56">
        <v>954</v>
      </c>
      <c r="G56">
        <v>966</v>
      </c>
      <c r="H56">
        <v>794</v>
      </c>
      <c r="I56">
        <v>760</v>
      </c>
      <c r="J56">
        <v>731</v>
      </c>
      <c r="K56">
        <v>743</v>
      </c>
      <c r="L56">
        <v>739</v>
      </c>
      <c r="M56">
        <v>737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4243</v>
      </c>
      <c r="C60">
        <v>2116</v>
      </c>
      <c r="D60">
        <v>4960</v>
      </c>
      <c r="E60">
        <v>5480</v>
      </c>
      <c r="F60">
        <v>3118</v>
      </c>
      <c r="G60">
        <v>2674</v>
      </c>
      <c r="H60">
        <v>2258</v>
      </c>
      <c r="I60">
        <v>1063</v>
      </c>
      <c r="J60">
        <v>5534</v>
      </c>
      <c r="K60">
        <v>2693</v>
      </c>
      <c r="L60">
        <v>18563</v>
      </c>
      <c r="M60">
        <v>3945</v>
      </c>
      <c r="N60">
        <v>120388890</v>
      </c>
      <c r="O60">
        <v>102888890</v>
      </c>
      <c r="P60">
        <v>108388890</v>
      </c>
      <c r="Q60">
        <v>119388890</v>
      </c>
      <c r="R60">
        <v>123388890</v>
      </c>
      <c r="S60">
        <v>112888890</v>
      </c>
      <c r="T60">
        <v>102888890</v>
      </c>
      <c r="U60">
        <v>102888890</v>
      </c>
      <c r="V60">
        <v>110388890</v>
      </c>
      <c r="W60">
        <v>90888890</v>
      </c>
      <c r="X60">
        <v>1960830170</v>
      </c>
      <c r="Y60">
        <v>110388890</v>
      </c>
    </row>
    <row r="61" spans="2:25">
      <c r="B61">
        <v>4218</v>
      </c>
      <c r="C61">
        <v>2087</v>
      </c>
      <c r="D61">
        <v>4969</v>
      </c>
      <c r="E61">
        <v>5450</v>
      </c>
      <c r="F61">
        <v>3105</v>
      </c>
      <c r="G61">
        <v>2688</v>
      </c>
      <c r="H61">
        <v>2485</v>
      </c>
      <c r="I61">
        <v>1051</v>
      </c>
      <c r="J61">
        <v>5493</v>
      </c>
      <c r="K61">
        <v>2734</v>
      </c>
      <c r="L61">
        <v>18111</v>
      </c>
      <c r="M61">
        <v>3854</v>
      </c>
      <c r="N61">
        <v>120388890</v>
      </c>
      <c r="O61">
        <v>102888890</v>
      </c>
      <c r="P61">
        <v>108388890</v>
      </c>
      <c r="Q61">
        <v>119388890</v>
      </c>
      <c r="R61">
        <v>123388890</v>
      </c>
      <c r="S61">
        <v>112888890</v>
      </c>
      <c r="T61">
        <v>102888890</v>
      </c>
      <c r="U61">
        <v>102888890</v>
      </c>
      <c r="V61">
        <v>110388890</v>
      </c>
      <c r="W61">
        <v>90888890</v>
      </c>
      <c r="X61">
        <v>1960830170</v>
      </c>
      <c r="Y61">
        <v>110388890</v>
      </c>
    </row>
    <row r="62" spans="2:25">
      <c r="B62">
        <v>4203</v>
      </c>
      <c r="C62">
        <v>2097</v>
      </c>
      <c r="D62">
        <v>4910</v>
      </c>
      <c r="E62">
        <v>5477</v>
      </c>
      <c r="F62">
        <v>3145</v>
      </c>
      <c r="G62">
        <v>2669</v>
      </c>
      <c r="H62">
        <v>2211</v>
      </c>
      <c r="I62">
        <v>1065</v>
      </c>
      <c r="J62">
        <v>5509</v>
      </c>
      <c r="K62">
        <v>2957</v>
      </c>
      <c r="L62">
        <v>18322</v>
      </c>
      <c r="M62">
        <v>4055</v>
      </c>
      <c r="N62">
        <v>120388890</v>
      </c>
      <c r="O62">
        <v>102888890</v>
      </c>
      <c r="P62">
        <v>108388890</v>
      </c>
      <c r="Q62">
        <v>119388890</v>
      </c>
      <c r="R62">
        <v>123388890</v>
      </c>
      <c r="S62">
        <v>112888890</v>
      </c>
      <c r="T62">
        <v>102888890</v>
      </c>
      <c r="U62">
        <v>102888890</v>
      </c>
      <c r="V62">
        <v>110388890</v>
      </c>
      <c r="W62">
        <v>90888890</v>
      </c>
      <c r="X62">
        <v>1960830170</v>
      </c>
      <c r="Y62">
        <v>110388890</v>
      </c>
    </row>
    <row r="63" spans="2:25">
      <c r="B63">
        <v>4221</v>
      </c>
      <c r="C63">
        <v>2109</v>
      </c>
      <c r="D63">
        <v>4949</v>
      </c>
      <c r="E63">
        <v>5412</v>
      </c>
      <c r="F63">
        <v>3143</v>
      </c>
      <c r="G63">
        <v>2685</v>
      </c>
      <c r="H63">
        <v>2387</v>
      </c>
      <c r="I63">
        <v>1062</v>
      </c>
      <c r="J63">
        <v>5583</v>
      </c>
      <c r="K63">
        <v>3034</v>
      </c>
      <c r="L63">
        <v>18470</v>
      </c>
      <c r="M63">
        <v>3936</v>
      </c>
      <c r="N63">
        <v>120388890</v>
      </c>
      <c r="O63">
        <v>102888890</v>
      </c>
      <c r="P63">
        <v>108388890</v>
      </c>
      <c r="Q63">
        <v>119388890</v>
      </c>
      <c r="R63">
        <v>123388890</v>
      </c>
      <c r="S63">
        <v>112888890</v>
      </c>
      <c r="T63">
        <v>102888890</v>
      </c>
      <c r="U63">
        <v>102888890</v>
      </c>
      <c r="V63">
        <v>110388890</v>
      </c>
      <c r="W63">
        <v>90888890</v>
      </c>
      <c r="X63">
        <v>1960830170</v>
      </c>
      <c r="Y63">
        <v>110388890</v>
      </c>
    </row>
    <row r="64" spans="2:25">
      <c r="B64">
        <v>4227</v>
      </c>
      <c r="C64">
        <v>2094</v>
      </c>
      <c r="D64">
        <v>4921</v>
      </c>
      <c r="E64">
        <v>5435</v>
      </c>
      <c r="F64">
        <v>3112</v>
      </c>
      <c r="G64">
        <v>2700</v>
      </c>
      <c r="H64">
        <v>2274</v>
      </c>
      <c r="I64">
        <v>1056</v>
      </c>
      <c r="J64">
        <v>5775</v>
      </c>
      <c r="K64">
        <v>2862</v>
      </c>
      <c r="L64">
        <v>18336</v>
      </c>
      <c r="M64">
        <v>3927</v>
      </c>
      <c r="N64">
        <v>120388890</v>
      </c>
      <c r="O64">
        <v>102888890</v>
      </c>
      <c r="P64">
        <v>108388890</v>
      </c>
      <c r="Q64">
        <v>119388890</v>
      </c>
      <c r="R64">
        <v>123388890</v>
      </c>
      <c r="S64">
        <v>112888890</v>
      </c>
      <c r="T64">
        <v>102888890</v>
      </c>
      <c r="U64">
        <v>102888890</v>
      </c>
      <c r="V64">
        <v>110388890</v>
      </c>
      <c r="W64">
        <v>90888890</v>
      </c>
      <c r="X64">
        <v>1960830170</v>
      </c>
      <c r="Y64">
        <v>110388890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11212</v>
      </c>
      <c r="C68">
        <v>4091</v>
      </c>
      <c r="D68">
        <v>11965</v>
      </c>
      <c r="E68">
        <v>12504</v>
      </c>
      <c r="F68">
        <v>5815</v>
      </c>
      <c r="G68">
        <v>5871</v>
      </c>
      <c r="H68">
        <v>5039</v>
      </c>
      <c r="I68">
        <v>1615</v>
      </c>
      <c r="J68">
        <v>10161</v>
      </c>
      <c r="L68">
        <v>49559</v>
      </c>
      <c r="M68">
        <v>9451</v>
      </c>
    </row>
    <row r="69" spans="2:13">
      <c r="B69">
        <v>11178</v>
      </c>
      <c r="C69">
        <v>4060</v>
      </c>
      <c r="D69">
        <v>11985</v>
      </c>
      <c r="E69">
        <v>12493</v>
      </c>
      <c r="F69">
        <v>5802</v>
      </c>
      <c r="G69">
        <v>5872</v>
      </c>
      <c r="H69">
        <v>5013</v>
      </c>
      <c r="I69">
        <v>1772</v>
      </c>
      <c r="J69">
        <v>10066</v>
      </c>
      <c r="L69">
        <v>49480</v>
      </c>
      <c r="M69">
        <v>9372</v>
      </c>
    </row>
    <row r="70" spans="2:13">
      <c r="B70">
        <v>11202</v>
      </c>
      <c r="C70">
        <v>4084</v>
      </c>
      <c r="D70">
        <v>12061</v>
      </c>
      <c r="E70">
        <v>12457</v>
      </c>
      <c r="F70">
        <v>5849</v>
      </c>
      <c r="G70">
        <v>5925</v>
      </c>
      <c r="H70">
        <v>4922</v>
      </c>
      <c r="I70">
        <v>1574</v>
      </c>
      <c r="J70">
        <v>9767</v>
      </c>
      <c r="L70">
        <v>49603</v>
      </c>
      <c r="M70">
        <v>9700</v>
      </c>
    </row>
    <row r="71" spans="2:13">
      <c r="B71">
        <v>11321</v>
      </c>
      <c r="C71">
        <v>4074</v>
      </c>
      <c r="D71">
        <v>12107</v>
      </c>
      <c r="E71">
        <v>12392</v>
      </c>
      <c r="F71">
        <v>5829</v>
      </c>
      <c r="G71">
        <v>5906</v>
      </c>
      <c r="H71">
        <v>4914</v>
      </c>
      <c r="I71">
        <v>1641</v>
      </c>
      <c r="J71">
        <v>10035</v>
      </c>
      <c r="L71">
        <v>50271</v>
      </c>
      <c r="M71">
        <v>9700</v>
      </c>
    </row>
    <row r="72" spans="2:13">
      <c r="B72">
        <v>11177</v>
      </c>
      <c r="C72">
        <v>4113</v>
      </c>
      <c r="D72">
        <v>11976</v>
      </c>
      <c r="E72">
        <v>12506</v>
      </c>
      <c r="F72">
        <v>5805</v>
      </c>
      <c r="G72">
        <v>5858</v>
      </c>
      <c r="H72">
        <v>5159</v>
      </c>
      <c r="I72">
        <v>1578</v>
      </c>
      <c r="J72">
        <v>10423</v>
      </c>
      <c r="L72">
        <v>50131</v>
      </c>
      <c r="M72">
        <v>9539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2015-06-19T12:32:17Z</dcterms:modified>
</cp:coreProperties>
</file>