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comments1.xml" ContentType="application/vnd.openxmlformats-officedocument.spreadsheetml.comment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935"/>
  </bookViews>
  <sheets>
    <sheet name="Startup" sheetId="1" r:id="rId1"/>
    <sheet name="Small M 1" sheetId="3" r:id="rId2"/>
    <sheet name="Small M 2" sheetId="4" r:id="rId3"/>
    <sheet name="Small M 3" sheetId="5" r:id="rId4"/>
    <sheet name="Small C 1" sheetId="6" r:id="rId5"/>
    <sheet name="Small C 2" sheetId="7" r:id="rId6"/>
    <sheet name="Small C 3" sheetId="8" r:id="rId7"/>
    <sheet name="Small P 1" sheetId="9" r:id="rId8"/>
    <sheet name="Small P 2" sheetId="10" r:id="rId9"/>
    <sheet name="Small P 3" sheetId="11" r:id="rId10"/>
    <sheet name="Std D 1" sheetId="12" r:id="rId11"/>
    <sheet name="Std D 2" sheetId="13" r:id="rId12"/>
    <sheet name="Std D 3" sheetId="14" r:id="rId13"/>
    <sheet name="Std P 1" sheetId="15" r:id="rId14"/>
    <sheet name="Std P 2" sheetId="16" r:id="rId15"/>
    <sheet name="Std P 3" sheetId="17" r:id="rId16"/>
    <sheet name="Large 1" sheetId="18" r:id="rId17"/>
    <sheet name="Large 2" sheetId="19" r:id="rId18"/>
  </sheets>
  <calcPr calcId="145621"/>
</workbook>
</file>

<file path=xl/calcChain.xml><?xml version="1.0" encoding="utf-8"?>
<calcChain xmlns="http://schemas.openxmlformats.org/spreadsheetml/2006/main">
  <c r="M42" i="11" l="1"/>
  <c r="M41" i="11"/>
  <c r="M39" i="11"/>
  <c r="M42" i="10"/>
  <c r="M41" i="10"/>
  <c r="M39" i="10"/>
  <c r="M42" i="9"/>
  <c r="M41" i="9"/>
  <c r="M39" i="9"/>
  <c r="N48" i="19" l="1"/>
  <c r="M48" i="19"/>
  <c r="L48" i="19"/>
  <c r="K48" i="19"/>
  <c r="J48" i="19"/>
  <c r="I48" i="19"/>
  <c r="H48" i="19"/>
  <c r="G48" i="19"/>
  <c r="F48" i="19"/>
  <c r="E48" i="19"/>
  <c r="D48" i="19"/>
  <c r="C48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N38" i="19"/>
  <c r="N39" i="19" s="1"/>
  <c r="N40" i="19" s="1"/>
  <c r="M38" i="19"/>
  <c r="M39" i="19" s="1"/>
  <c r="M40" i="19" s="1"/>
  <c r="L38" i="19"/>
  <c r="L39" i="19" s="1"/>
  <c r="L40" i="19" s="1"/>
  <c r="K38" i="19"/>
  <c r="K39" i="19" s="1"/>
  <c r="K40" i="19" s="1"/>
  <c r="J38" i="19"/>
  <c r="J39" i="19" s="1"/>
  <c r="J40" i="19" s="1"/>
  <c r="I38" i="19"/>
  <c r="I39" i="19" s="1"/>
  <c r="I40" i="19" s="1"/>
  <c r="H38" i="19"/>
  <c r="H39" i="19" s="1"/>
  <c r="H40" i="19" s="1"/>
  <c r="G38" i="19"/>
  <c r="G39" i="19" s="1"/>
  <c r="G40" i="19" s="1"/>
  <c r="F38" i="19"/>
  <c r="F39" i="19" s="1"/>
  <c r="F40" i="19" s="1"/>
  <c r="E38" i="19"/>
  <c r="E39" i="19" s="1"/>
  <c r="E40" i="19" s="1"/>
  <c r="D38" i="19"/>
  <c r="D39" i="19" s="1"/>
  <c r="D40" i="19" s="1"/>
  <c r="C38" i="19"/>
  <c r="C39" i="19" s="1"/>
  <c r="C40" i="19" s="1"/>
  <c r="N48" i="18"/>
  <c r="M48" i="18"/>
  <c r="L48" i="18"/>
  <c r="K48" i="18"/>
  <c r="J48" i="18"/>
  <c r="I48" i="18"/>
  <c r="H48" i="18"/>
  <c r="G48" i="18"/>
  <c r="F48" i="18"/>
  <c r="E48" i="18"/>
  <c r="D48" i="18"/>
  <c r="C48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N38" i="18"/>
  <c r="N39" i="18" s="1"/>
  <c r="N40" i="18" s="1"/>
  <c r="M38" i="18"/>
  <c r="M39" i="18" s="1"/>
  <c r="M40" i="18" s="1"/>
  <c r="L38" i="18"/>
  <c r="L39" i="18" s="1"/>
  <c r="L40" i="18" s="1"/>
  <c r="K38" i="18"/>
  <c r="K39" i="18" s="1"/>
  <c r="K40" i="18" s="1"/>
  <c r="J38" i="18"/>
  <c r="J39" i="18" s="1"/>
  <c r="J40" i="18" s="1"/>
  <c r="I38" i="18"/>
  <c r="I39" i="18" s="1"/>
  <c r="I40" i="18" s="1"/>
  <c r="H38" i="18"/>
  <c r="H39" i="18" s="1"/>
  <c r="H40" i="18" s="1"/>
  <c r="G38" i="18"/>
  <c r="G39" i="18" s="1"/>
  <c r="G40" i="18" s="1"/>
  <c r="F38" i="18"/>
  <c r="F39" i="18" s="1"/>
  <c r="F40" i="18" s="1"/>
  <c r="E38" i="18"/>
  <c r="E39" i="18" s="1"/>
  <c r="E40" i="18" s="1"/>
  <c r="D38" i="18"/>
  <c r="D39" i="18" s="1"/>
  <c r="D40" i="18" s="1"/>
  <c r="C38" i="18"/>
  <c r="C39" i="18" s="1"/>
  <c r="C40" i="18" s="1"/>
  <c r="N48" i="17"/>
  <c r="M48" i="17"/>
  <c r="L48" i="17"/>
  <c r="K48" i="17"/>
  <c r="J48" i="17"/>
  <c r="I48" i="17"/>
  <c r="H48" i="17"/>
  <c r="G48" i="17"/>
  <c r="F48" i="17"/>
  <c r="E48" i="17"/>
  <c r="D48" i="17"/>
  <c r="C48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N38" i="17"/>
  <c r="N39" i="17" s="1"/>
  <c r="N40" i="17" s="1"/>
  <c r="M38" i="17"/>
  <c r="M39" i="17" s="1"/>
  <c r="M40" i="17" s="1"/>
  <c r="L38" i="17"/>
  <c r="L39" i="17" s="1"/>
  <c r="L40" i="17" s="1"/>
  <c r="K38" i="17"/>
  <c r="K39" i="17" s="1"/>
  <c r="K40" i="17" s="1"/>
  <c r="J38" i="17"/>
  <c r="J39" i="17" s="1"/>
  <c r="J40" i="17" s="1"/>
  <c r="I38" i="17"/>
  <c r="I39" i="17" s="1"/>
  <c r="I40" i="17" s="1"/>
  <c r="H38" i="17"/>
  <c r="H39" i="17" s="1"/>
  <c r="H40" i="17" s="1"/>
  <c r="G38" i="17"/>
  <c r="G39" i="17" s="1"/>
  <c r="G40" i="17" s="1"/>
  <c r="F38" i="17"/>
  <c r="F39" i="17" s="1"/>
  <c r="F40" i="17" s="1"/>
  <c r="E38" i="17"/>
  <c r="E39" i="17" s="1"/>
  <c r="E40" i="17" s="1"/>
  <c r="D38" i="17"/>
  <c r="D39" i="17" s="1"/>
  <c r="D40" i="17" s="1"/>
  <c r="C38" i="17"/>
  <c r="C39" i="17" s="1"/>
  <c r="C40" i="17" s="1"/>
  <c r="N48" i="16"/>
  <c r="M48" i="16"/>
  <c r="L48" i="16"/>
  <c r="K48" i="16"/>
  <c r="J48" i="16"/>
  <c r="I48" i="16"/>
  <c r="H48" i="16"/>
  <c r="G48" i="16"/>
  <c r="F48" i="16"/>
  <c r="E48" i="16"/>
  <c r="D48" i="16"/>
  <c r="C48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N38" i="16"/>
  <c r="N39" i="16" s="1"/>
  <c r="N40" i="16" s="1"/>
  <c r="M38" i="16"/>
  <c r="M39" i="16" s="1"/>
  <c r="L38" i="16"/>
  <c r="L39" i="16" s="1"/>
  <c r="L40" i="16" s="1"/>
  <c r="K38" i="16"/>
  <c r="K39" i="16" s="1"/>
  <c r="K40" i="16" s="1"/>
  <c r="J38" i="16"/>
  <c r="J39" i="16" s="1"/>
  <c r="J40" i="16" s="1"/>
  <c r="I38" i="16"/>
  <c r="I39" i="16" s="1"/>
  <c r="I40" i="16" s="1"/>
  <c r="H38" i="16"/>
  <c r="H39" i="16" s="1"/>
  <c r="H40" i="16" s="1"/>
  <c r="G38" i="16"/>
  <c r="G39" i="16" s="1"/>
  <c r="G40" i="16" s="1"/>
  <c r="F38" i="16"/>
  <c r="F39" i="16" s="1"/>
  <c r="F40" i="16" s="1"/>
  <c r="E38" i="16"/>
  <c r="E39" i="16" s="1"/>
  <c r="E40" i="16" s="1"/>
  <c r="D38" i="16"/>
  <c r="D39" i="16" s="1"/>
  <c r="D40" i="16" s="1"/>
  <c r="C38" i="16"/>
  <c r="C39" i="16" s="1"/>
  <c r="C40" i="16" s="1"/>
  <c r="N48" i="15"/>
  <c r="M48" i="15"/>
  <c r="L48" i="15"/>
  <c r="K48" i="15"/>
  <c r="J48" i="15"/>
  <c r="I48" i="15"/>
  <c r="H48" i="15"/>
  <c r="G48" i="15"/>
  <c r="F48" i="15"/>
  <c r="E48" i="15"/>
  <c r="D48" i="15"/>
  <c r="C48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N38" i="15"/>
  <c r="N39" i="15" s="1"/>
  <c r="N40" i="15" s="1"/>
  <c r="M38" i="15"/>
  <c r="M39" i="15" s="1"/>
  <c r="M40" i="15" s="1"/>
  <c r="L38" i="15"/>
  <c r="L39" i="15" s="1"/>
  <c r="L40" i="15" s="1"/>
  <c r="K38" i="15"/>
  <c r="K39" i="15" s="1"/>
  <c r="K40" i="15" s="1"/>
  <c r="J38" i="15"/>
  <c r="J39" i="15" s="1"/>
  <c r="J40" i="15" s="1"/>
  <c r="I38" i="15"/>
  <c r="I39" i="15" s="1"/>
  <c r="I40" i="15" s="1"/>
  <c r="H38" i="15"/>
  <c r="H39" i="15" s="1"/>
  <c r="H40" i="15" s="1"/>
  <c r="G38" i="15"/>
  <c r="G39" i="15" s="1"/>
  <c r="F38" i="15"/>
  <c r="F39" i="15" s="1"/>
  <c r="F40" i="15" s="1"/>
  <c r="E38" i="15"/>
  <c r="E39" i="15" s="1"/>
  <c r="E40" i="15" s="1"/>
  <c r="D38" i="15"/>
  <c r="D39" i="15" s="1"/>
  <c r="D40" i="15" s="1"/>
  <c r="C38" i="15"/>
  <c r="C39" i="15" s="1"/>
  <c r="C40" i="15" s="1"/>
  <c r="N48" i="14"/>
  <c r="M48" i="14"/>
  <c r="L48" i="14"/>
  <c r="K48" i="14"/>
  <c r="J48" i="14"/>
  <c r="I48" i="14"/>
  <c r="H48" i="14"/>
  <c r="G48" i="14"/>
  <c r="F48" i="14"/>
  <c r="E48" i="14"/>
  <c r="D48" i="14"/>
  <c r="C48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N38" i="14"/>
  <c r="N39" i="14" s="1"/>
  <c r="N40" i="14" s="1"/>
  <c r="M38" i="14"/>
  <c r="M39" i="14" s="1"/>
  <c r="M40" i="14" s="1"/>
  <c r="L38" i="14"/>
  <c r="L39" i="14" s="1"/>
  <c r="L40" i="14" s="1"/>
  <c r="K38" i="14"/>
  <c r="K39" i="14" s="1"/>
  <c r="K40" i="14" s="1"/>
  <c r="J38" i="14"/>
  <c r="J39" i="14" s="1"/>
  <c r="J40" i="14" s="1"/>
  <c r="I38" i="14"/>
  <c r="I39" i="14" s="1"/>
  <c r="I40" i="14" s="1"/>
  <c r="H38" i="14"/>
  <c r="H39" i="14" s="1"/>
  <c r="G38" i="14"/>
  <c r="G39" i="14" s="1"/>
  <c r="G40" i="14" s="1"/>
  <c r="F38" i="14"/>
  <c r="F39" i="14" s="1"/>
  <c r="F40" i="14" s="1"/>
  <c r="E38" i="14"/>
  <c r="E39" i="14" s="1"/>
  <c r="E40" i="14" s="1"/>
  <c r="D38" i="14"/>
  <c r="D39" i="14" s="1"/>
  <c r="D40" i="14" s="1"/>
  <c r="C38" i="14"/>
  <c r="C39" i="14" s="1"/>
  <c r="C40" i="14" s="1"/>
  <c r="N48" i="13"/>
  <c r="M48" i="13"/>
  <c r="L48" i="13"/>
  <c r="K48" i="13"/>
  <c r="J48" i="13"/>
  <c r="I48" i="13"/>
  <c r="H48" i="13"/>
  <c r="G48" i="13"/>
  <c r="F48" i="13"/>
  <c r="E48" i="13"/>
  <c r="D48" i="13"/>
  <c r="C48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N38" i="13"/>
  <c r="N39" i="13" s="1"/>
  <c r="N40" i="13" s="1"/>
  <c r="M38" i="13"/>
  <c r="M39" i="13" s="1"/>
  <c r="L38" i="13"/>
  <c r="L39" i="13" s="1"/>
  <c r="L40" i="13" s="1"/>
  <c r="K38" i="13"/>
  <c r="K39" i="13" s="1"/>
  <c r="K40" i="13" s="1"/>
  <c r="J38" i="13"/>
  <c r="J39" i="13" s="1"/>
  <c r="J40" i="13" s="1"/>
  <c r="I38" i="13"/>
  <c r="I39" i="13" s="1"/>
  <c r="I40" i="13" s="1"/>
  <c r="H38" i="13"/>
  <c r="H39" i="13" s="1"/>
  <c r="H40" i="13" s="1"/>
  <c r="G38" i="13"/>
  <c r="G39" i="13" s="1"/>
  <c r="G40" i="13" s="1"/>
  <c r="F38" i="13"/>
  <c r="F39" i="13" s="1"/>
  <c r="F40" i="13" s="1"/>
  <c r="E38" i="13"/>
  <c r="E39" i="13" s="1"/>
  <c r="E40" i="13" s="1"/>
  <c r="D38" i="13"/>
  <c r="D39" i="13" s="1"/>
  <c r="D40" i="13" s="1"/>
  <c r="C38" i="13"/>
  <c r="C39" i="13" s="1"/>
  <c r="C40" i="13" s="1"/>
  <c r="N48" i="12"/>
  <c r="M48" i="12"/>
  <c r="L48" i="12"/>
  <c r="K48" i="12"/>
  <c r="J48" i="12"/>
  <c r="I48" i="12"/>
  <c r="H48" i="12"/>
  <c r="G48" i="12"/>
  <c r="F48" i="12"/>
  <c r="E48" i="12"/>
  <c r="D48" i="12"/>
  <c r="C48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N38" i="12"/>
  <c r="N39" i="12" s="1"/>
  <c r="N40" i="12" s="1"/>
  <c r="M38" i="12"/>
  <c r="M39" i="12" s="1"/>
  <c r="M40" i="12" s="1"/>
  <c r="L38" i="12"/>
  <c r="L39" i="12" s="1"/>
  <c r="L40" i="12" s="1"/>
  <c r="K38" i="12"/>
  <c r="K39" i="12" s="1"/>
  <c r="K40" i="12" s="1"/>
  <c r="J38" i="12"/>
  <c r="J39" i="12" s="1"/>
  <c r="J40" i="12" s="1"/>
  <c r="I38" i="12"/>
  <c r="I39" i="12" s="1"/>
  <c r="I40" i="12" s="1"/>
  <c r="H38" i="12"/>
  <c r="H39" i="12" s="1"/>
  <c r="H40" i="12" s="1"/>
  <c r="G38" i="12"/>
  <c r="G39" i="12" s="1"/>
  <c r="G40" i="12" s="1"/>
  <c r="F38" i="12"/>
  <c r="F39" i="12" s="1"/>
  <c r="F40" i="12" s="1"/>
  <c r="E38" i="12"/>
  <c r="E39" i="12" s="1"/>
  <c r="E40" i="12" s="1"/>
  <c r="D38" i="12"/>
  <c r="D39" i="12" s="1"/>
  <c r="D40" i="12" s="1"/>
  <c r="C38" i="12"/>
  <c r="C39" i="12" s="1"/>
  <c r="C40" i="12" s="1"/>
  <c r="N48" i="11"/>
  <c r="M48" i="11"/>
  <c r="L48" i="11"/>
  <c r="K48" i="11"/>
  <c r="J48" i="11"/>
  <c r="I48" i="11"/>
  <c r="H48" i="11"/>
  <c r="G48" i="11"/>
  <c r="F48" i="11"/>
  <c r="E48" i="11"/>
  <c r="D48" i="11"/>
  <c r="C48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N42" i="11"/>
  <c r="L42" i="11"/>
  <c r="K42" i="11"/>
  <c r="J42" i="11"/>
  <c r="I42" i="11"/>
  <c r="H42" i="11"/>
  <c r="G42" i="11"/>
  <c r="F42" i="11"/>
  <c r="E42" i="11"/>
  <c r="D42" i="11"/>
  <c r="C42" i="11"/>
  <c r="N41" i="11"/>
  <c r="L41" i="11"/>
  <c r="K41" i="11"/>
  <c r="J41" i="11"/>
  <c r="I41" i="11"/>
  <c r="H41" i="11"/>
  <c r="G41" i="11"/>
  <c r="F41" i="11"/>
  <c r="E41" i="11"/>
  <c r="D41" i="11"/>
  <c r="C41" i="11"/>
  <c r="N38" i="11"/>
  <c r="N39" i="11" s="1"/>
  <c r="N40" i="11" s="1"/>
  <c r="M38" i="11"/>
  <c r="M40" i="11" s="1"/>
  <c r="L38" i="11"/>
  <c r="L39" i="11" s="1"/>
  <c r="L40" i="11" s="1"/>
  <c r="K38" i="11"/>
  <c r="K39" i="11" s="1"/>
  <c r="K40" i="11" s="1"/>
  <c r="J38" i="11"/>
  <c r="J39" i="11" s="1"/>
  <c r="J40" i="11" s="1"/>
  <c r="I38" i="11"/>
  <c r="I39" i="11" s="1"/>
  <c r="I40" i="11" s="1"/>
  <c r="H38" i="11"/>
  <c r="H39" i="11" s="1"/>
  <c r="H40" i="11" s="1"/>
  <c r="G38" i="11"/>
  <c r="G39" i="11" s="1"/>
  <c r="F38" i="11"/>
  <c r="F39" i="11" s="1"/>
  <c r="F40" i="11" s="1"/>
  <c r="E38" i="11"/>
  <c r="E39" i="11" s="1"/>
  <c r="E40" i="11" s="1"/>
  <c r="D38" i="11"/>
  <c r="D39" i="11" s="1"/>
  <c r="D40" i="11" s="1"/>
  <c r="C38" i="11"/>
  <c r="C39" i="11" s="1"/>
  <c r="C40" i="11" s="1"/>
  <c r="N48" i="10"/>
  <c r="M48" i="10"/>
  <c r="L48" i="10"/>
  <c r="K48" i="10"/>
  <c r="J48" i="10"/>
  <c r="I48" i="10"/>
  <c r="H48" i="10"/>
  <c r="G48" i="10"/>
  <c r="F48" i="10"/>
  <c r="E48" i="10"/>
  <c r="D48" i="10"/>
  <c r="C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N42" i="10"/>
  <c r="L42" i="10"/>
  <c r="K42" i="10"/>
  <c r="J42" i="10"/>
  <c r="I42" i="10"/>
  <c r="H42" i="10"/>
  <c r="G42" i="10"/>
  <c r="F42" i="10"/>
  <c r="E42" i="10"/>
  <c r="D42" i="10"/>
  <c r="C42" i="10"/>
  <c r="N41" i="10"/>
  <c r="L41" i="10"/>
  <c r="K41" i="10"/>
  <c r="J41" i="10"/>
  <c r="I41" i="10"/>
  <c r="H41" i="10"/>
  <c r="G41" i="10"/>
  <c r="F41" i="10"/>
  <c r="E41" i="10"/>
  <c r="D41" i="10"/>
  <c r="C41" i="10"/>
  <c r="N38" i="10"/>
  <c r="N39" i="10" s="1"/>
  <c r="M38" i="10"/>
  <c r="M40" i="10" s="1"/>
  <c r="L38" i="10"/>
  <c r="L39" i="10" s="1"/>
  <c r="L40" i="10" s="1"/>
  <c r="K38" i="10"/>
  <c r="K39" i="10" s="1"/>
  <c r="K40" i="10" s="1"/>
  <c r="J38" i="10"/>
  <c r="J39" i="10" s="1"/>
  <c r="J40" i="10" s="1"/>
  <c r="I38" i="10"/>
  <c r="I39" i="10" s="1"/>
  <c r="I40" i="10" s="1"/>
  <c r="H38" i="10"/>
  <c r="H39" i="10" s="1"/>
  <c r="G38" i="10"/>
  <c r="G39" i="10" s="1"/>
  <c r="F38" i="10"/>
  <c r="F39" i="10" s="1"/>
  <c r="F40" i="10" s="1"/>
  <c r="E38" i="10"/>
  <c r="E39" i="10" s="1"/>
  <c r="E40" i="10" s="1"/>
  <c r="D38" i="10"/>
  <c r="D39" i="10" s="1"/>
  <c r="D40" i="10" s="1"/>
  <c r="C38" i="10"/>
  <c r="C39" i="10" s="1"/>
  <c r="C40" i="10" s="1"/>
  <c r="N48" i="9"/>
  <c r="M48" i="9"/>
  <c r="L48" i="9"/>
  <c r="K48" i="9"/>
  <c r="J48" i="9"/>
  <c r="I48" i="9"/>
  <c r="H48" i="9"/>
  <c r="G48" i="9"/>
  <c r="F48" i="9"/>
  <c r="E48" i="9"/>
  <c r="D48" i="9"/>
  <c r="C48" i="9"/>
  <c r="N47" i="9"/>
  <c r="M47" i="9"/>
  <c r="L47" i="9"/>
  <c r="K47" i="9"/>
  <c r="J47" i="9"/>
  <c r="I47" i="9"/>
  <c r="H47" i="9"/>
  <c r="G47" i="9"/>
  <c r="F47" i="9"/>
  <c r="E47" i="9"/>
  <c r="D47" i="9"/>
  <c r="C47" i="9"/>
  <c r="N42" i="9"/>
  <c r="L42" i="9"/>
  <c r="K42" i="9"/>
  <c r="J42" i="9"/>
  <c r="I42" i="9"/>
  <c r="H42" i="9"/>
  <c r="G42" i="9"/>
  <c r="F42" i="9"/>
  <c r="E42" i="9"/>
  <c r="D42" i="9"/>
  <c r="C42" i="9"/>
  <c r="N41" i="9"/>
  <c r="L41" i="9"/>
  <c r="K41" i="9"/>
  <c r="J41" i="9"/>
  <c r="I41" i="9"/>
  <c r="H41" i="9"/>
  <c r="G41" i="9"/>
  <c r="F41" i="9"/>
  <c r="E41" i="9"/>
  <c r="D41" i="9"/>
  <c r="C41" i="9"/>
  <c r="N38" i="9"/>
  <c r="N39" i="9" s="1"/>
  <c r="M38" i="9"/>
  <c r="M40" i="9" s="1"/>
  <c r="L38" i="9"/>
  <c r="L39" i="9" s="1"/>
  <c r="L40" i="9" s="1"/>
  <c r="K38" i="9"/>
  <c r="K39" i="9" s="1"/>
  <c r="K40" i="9" s="1"/>
  <c r="J38" i="9"/>
  <c r="J39" i="9" s="1"/>
  <c r="J40" i="9" s="1"/>
  <c r="I38" i="9"/>
  <c r="I39" i="9" s="1"/>
  <c r="I40" i="9" s="1"/>
  <c r="H38" i="9"/>
  <c r="H39" i="9" s="1"/>
  <c r="H40" i="9" s="1"/>
  <c r="G38" i="9"/>
  <c r="G39" i="9" s="1"/>
  <c r="G40" i="9" s="1"/>
  <c r="F38" i="9"/>
  <c r="F39" i="9" s="1"/>
  <c r="F40" i="9" s="1"/>
  <c r="E38" i="9"/>
  <c r="E39" i="9" s="1"/>
  <c r="E40" i="9" s="1"/>
  <c r="D38" i="9"/>
  <c r="D39" i="9" s="1"/>
  <c r="D40" i="9" s="1"/>
  <c r="C38" i="9"/>
  <c r="C39" i="9" s="1"/>
  <c r="C40" i="9" s="1"/>
  <c r="N48" i="8"/>
  <c r="M48" i="8"/>
  <c r="L48" i="8"/>
  <c r="K48" i="8"/>
  <c r="J48" i="8"/>
  <c r="I48" i="8"/>
  <c r="H48" i="8"/>
  <c r="G48" i="8"/>
  <c r="F48" i="8"/>
  <c r="E48" i="8"/>
  <c r="D48" i="8"/>
  <c r="C48" i="8"/>
  <c r="N47" i="8"/>
  <c r="M47" i="8"/>
  <c r="L47" i="8"/>
  <c r="K47" i="8"/>
  <c r="J47" i="8"/>
  <c r="I47" i="8"/>
  <c r="H47" i="8"/>
  <c r="G47" i="8"/>
  <c r="F47" i="8"/>
  <c r="E47" i="8"/>
  <c r="D47" i="8"/>
  <c r="C47" i="8"/>
  <c r="N42" i="8"/>
  <c r="M42" i="8"/>
  <c r="L42" i="8"/>
  <c r="K42" i="8"/>
  <c r="J42" i="8"/>
  <c r="I42" i="8"/>
  <c r="H42" i="8"/>
  <c r="G42" i="8"/>
  <c r="F42" i="8"/>
  <c r="E42" i="8"/>
  <c r="D42" i="8"/>
  <c r="C42" i="8"/>
  <c r="N41" i="8"/>
  <c r="M41" i="8"/>
  <c r="L41" i="8"/>
  <c r="K41" i="8"/>
  <c r="J41" i="8"/>
  <c r="I41" i="8"/>
  <c r="H41" i="8"/>
  <c r="G41" i="8"/>
  <c r="F41" i="8"/>
  <c r="E41" i="8"/>
  <c r="D41" i="8"/>
  <c r="C41" i="8"/>
  <c r="N38" i="8"/>
  <c r="N39" i="8" s="1"/>
  <c r="N40" i="8" s="1"/>
  <c r="M38" i="8"/>
  <c r="M39" i="8" s="1"/>
  <c r="M40" i="8" s="1"/>
  <c r="L38" i="8"/>
  <c r="L39" i="8" s="1"/>
  <c r="L40" i="8" s="1"/>
  <c r="K38" i="8"/>
  <c r="K39" i="8" s="1"/>
  <c r="K40" i="8" s="1"/>
  <c r="J38" i="8"/>
  <c r="J39" i="8" s="1"/>
  <c r="J40" i="8" s="1"/>
  <c r="I38" i="8"/>
  <c r="I39" i="8" s="1"/>
  <c r="I40" i="8" s="1"/>
  <c r="H38" i="8"/>
  <c r="H39" i="8" s="1"/>
  <c r="H40" i="8" s="1"/>
  <c r="G38" i="8"/>
  <c r="G39" i="8" s="1"/>
  <c r="G40" i="8" s="1"/>
  <c r="F38" i="8"/>
  <c r="F39" i="8" s="1"/>
  <c r="F40" i="8" s="1"/>
  <c r="E38" i="8"/>
  <c r="E39" i="8" s="1"/>
  <c r="E40" i="8" s="1"/>
  <c r="D38" i="8"/>
  <c r="D39" i="8" s="1"/>
  <c r="D40" i="8" s="1"/>
  <c r="C38" i="8"/>
  <c r="C39" i="8" s="1"/>
  <c r="C40" i="8" s="1"/>
  <c r="N48" i="7"/>
  <c r="M48" i="7"/>
  <c r="L48" i="7"/>
  <c r="K48" i="7"/>
  <c r="J48" i="7"/>
  <c r="I48" i="7"/>
  <c r="H48" i="7"/>
  <c r="G48" i="7"/>
  <c r="F48" i="7"/>
  <c r="E48" i="7"/>
  <c r="D48" i="7"/>
  <c r="C48" i="7"/>
  <c r="N47" i="7"/>
  <c r="M47" i="7"/>
  <c r="L47" i="7"/>
  <c r="K47" i="7"/>
  <c r="J47" i="7"/>
  <c r="I47" i="7"/>
  <c r="H47" i="7"/>
  <c r="G47" i="7"/>
  <c r="F47" i="7"/>
  <c r="E47" i="7"/>
  <c r="D47" i="7"/>
  <c r="C47" i="7"/>
  <c r="N42" i="7"/>
  <c r="M42" i="7"/>
  <c r="L42" i="7"/>
  <c r="K42" i="7"/>
  <c r="J42" i="7"/>
  <c r="I42" i="7"/>
  <c r="H42" i="7"/>
  <c r="G42" i="7"/>
  <c r="F42" i="7"/>
  <c r="E42" i="7"/>
  <c r="D42" i="7"/>
  <c r="C42" i="7"/>
  <c r="N41" i="7"/>
  <c r="M41" i="7"/>
  <c r="L41" i="7"/>
  <c r="K41" i="7"/>
  <c r="J41" i="7"/>
  <c r="I41" i="7"/>
  <c r="H41" i="7"/>
  <c r="G41" i="7"/>
  <c r="F41" i="7"/>
  <c r="E41" i="7"/>
  <c r="D41" i="7"/>
  <c r="C41" i="7"/>
  <c r="N38" i="7"/>
  <c r="N39" i="7" s="1"/>
  <c r="N40" i="7" s="1"/>
  <c r="M38" i="7"/>
  <c r="M39" i="7" s="1"/>
  <c r="M40" i="7" s="1"/>
  <c r="L38" i="7"/>
  <c r="L39" i="7" s="1"/>
  <c r="L40" i="7" s="1"/>
  <c r="K38" i="7"/>
  <c r="K39" i="7" s="1"/>
  <c r="K40" i="7" s="1"/>
  <c r="J38" i="7"/>
  <c r="J39" i="7" s="1"/>
  <c r="J40" i="7" s="1"/>
  <c r="I38" i="7"/>
  <c r="I39" i="7" s="1"/>
  <c r="I40" i="7" s="1"/>
  <c r="H38" i="7"/>
  <c r="H39" i="7" s="1"/>
  <c r="H40" i="7" s="1"/>
  <c r="G38" i="7"/>
  <c r="G39" i="7" s="1"/>
  <c r="G40" i="7" s="1"/>
  <c r="F38" i="7"/>
  <c r="F39" i="7" s="1"/>
  <c r="F40" i="7" s="1"/>
  <c r="E38" i="7"/>
  <c r="E39" i="7" s="1"/>
  <c r="E40" i="7" s="1"/>
  <c r="D38" i="7"/>
  <c r="D39" i="7" s="1"/>
  <c r="D40" i="7" s="1"/>
  <c r="C38" i="7"/>
  <c r="C39" i="7" s="1"/>
  <c r="C40" i="7" s="1"/>
  <c r="N48" i="6"/>
  <c r="M48" i="6"/>
  <c r="L48" i="6"/>
  <c r="K48" i="6"/>
  <c r="J48" i="6"/>
  <c r="I48" i="6"/>
  <c r="H48" i="6"/>
  <c r="G48" i="6"/>
  <c r="F48" i="6"/>
  <c r="E48" i="6"/>
  <c r="D48" i="6"/>
  <c r="C48" i="6"/>
  <c r="N47" i="6"/>
  <c r="M47" i="6"/>
  <c r="L47" i="6"/>
  <c r="K47" i="6"/>
  <c r="J47" i="6"/>
  <c r="I47" i="6"/>
  <c r="H47" i="6"/>
  <c r="G47" i="6"/>
  <c r="F47" i="6"/>
  <c r="E47" i="6"/>
  <c r="D47" i="6"/>
  <c r="C47" i="6"/>
  <c r="N42" i="6"/>
  <c r="M42" i="6"/>
  <c r="L42" i="6"/>
  <c r="K42" i="6"/>
  <c r="J42" i="6"/>
  <c r="I42" i="6"/>
  <c r="H42" i="6"/>
  <c r="G42" i="6"/>
  <c r="F42" i="6"/>
  <c r="E42" i="6"/>
  <c r="D42" i="6"/>
  <c r="C42" i="6"/>
  <c r="N41" i="6"/>
  <c r="M41" i="6"/>
  <c r="L41" i="6"/>
  <c r="K41" i="6"/>
  <c r="J41" i="6"/>
  <c r="I41" i="6"/>
  <c r="H41" i="6"/>
  <c r="G41" i="6"/>
  <c r="F41" i="6"/>
  <c r="E41" i="6"/>
  <c r="D41" i="6"/>
  <c r="C41" i="6"/>
  <c r="N38" i="6"/>
  <c r="N39" i="6" s="1"/>
  <c r="N40" i="6" s="1"/>
  <c r="M38" i="6"/>
  <c r="M39" i="6" s="1"/>
  <c r="M40" i="6" s="1"/>
  <c r="L38" i="6"/>
  <c r="L39" i="6" s="1"/>
  <c r="L40" i="6" s="1"/>
  <c r="K38" i="6"/>
  <c r="K39" i="6" s="1"/>
  <c r="K40" i="6" s="1"/>
  <c r="J38" i="6"/>
  <c r="J39" i="6" s="1"/>
  <c r="J40" i="6" s="1"/>
  <c r="I38" i="6"/>
  <c r="I39" i="6" s="1"/>
  <c r="I40" i="6" s="1"/>
  <c r="H38" i="6"/>
  <c r="H39" i="6" s="1"/>
  <c r="H40" i="6" s="1"/>
  <c r="G38" i="6"/>
  <c r="G39" i="6" s="1"/>
  <c r="G40" i="6" s="1"/>
  <c r="F38" i="6"/>
  <c r="F39" i="6" s="1"/>
  <c r="F40" i="6" s="1"/>
  <c r="E38" i="6"/>
  <c r="E39" i="6" s="1"/>
  <c r="E40" i="6" s="1"/>
  <c r="D38" i="6"/>
  <c r="D39" i="6" s="1"/>
  <c r="D40" i="6" s="1"/>
  <c r="C38" i="6"/>
  <c r="C39" i="6" s="1"/>
  <c r="C40" i="6" s="1"/>
  <c r="N48" i="5"/>
  <c r="M48" i="5"/>
  <c r="L48" i="5"/>
  <c r="K48" i="5"/>
  <c r="J48" i="5"/>
  <c r="I48" i="5"/>
  <c r="H48" i="5"/>
  <c r="G48" i="5"/>
  <c r="F48" i="5"/>
  <c r="E48" i="5"/>
  <c r="D48" i="5"/>
  <c r="C48" i="5"/>
  <c r="N47" i="5"/>
  <c r="M47" i="5"/>
  <c r="L47" i="5"/>
  <c r="K47" i="5"/>
  <c r="J47" i="5"/>
  <c r="I47" i="5"/>
  <c r="H47" i="5"/>
  <c r="G47" i="5"/>
  <c r="F47" i="5"/>
  <c r="E47" i="5"/>
  <c r="D47" i="5"/>
  <c r="C47" i="5"/>
  <c r="N42" i="5"/>
  <c r="M42" i="5"/>
  <c r="L42" i="5"/>
  <c r="K42" i="5"/>
  <c r="J42" i="5"/>
  <c r="I42" i="5"/>
  <c r="H42" i="5"/>
  <c r="G42" i="5"/>
  <c r="F42" i="5"/>
  <c r="E42" i="5"/>
  <c r="D42" i="5"/>
  <c r="C42" i="5"/>
  <c r="N41" i="5"/>
  <c r="M41" i="5"/>
  <c r="L41" i="5"/>
  <c r="K41" i="5"/>
  <c r="J41" i="5"/>
  <c r="I41" i="5"/>
  <c r="H41" i="5"/>
  <c r="G41" i="5"/>
  <c r="F41" i="5"/>
  <c r="E41" i="5"/>
  <c r="D41" i="5"/>
  <c r="C41" i="5"/>
  <c r="N38" i="5"/>
  <c r="N39" i="5" s="1"/>
  <c r="N40" i="5" s="1"/>
  <c r="M38" i="5"/>
  <c r="M39" i="5" s="1"/>
  <c r="M40" i="5" s="1"/>
  <c r="L38" i="5"/>
  <c r="L39" i="5" s="1"/>
  <c r="L40" i="5" s="1"/>
  <c r="K38" i="5"/>
  <c r="K39" i="5" s="1"/>
  <c r="K40" i="5" s="1"/>
  <c r="J38" i="5"/>
  <c r="J39" i="5" s="1"/>
  <c r="J40" i="5" s="1"/>
  <c r="I38" i="5"/>
  <c r="I39" i="5" s="1"/>
  <c r="I40" i="5" s="1"/>
  <c r="H38" i="5"/>
  <c r="H39" i="5" s="1"/>
  <c r="H40" i="5" s="1"/>
  <c r="G38" i="5"/>
  <c r="G39" i="5" s="1"/>
  <c r="G40" i="5" s="1"/>
  <c r="F38" i="5"/>
  <c r="F39" i="5" s="1"/>
  <c r="F40" i="5" s="1"/>
  <c r="E38" i="5"/>
  <c r="E39" i="5" s="1"/>
  <c r="E40" i="5" s="1"/>
  <c r="D38" i="5"/>
  <c r="D39" i="5" s="1"/>
  <c r="D40" i="5" s="1"/>
  <c r="C38" i="5"/>
  <c r="C39" i="5" s="1"/>
  <c r="C40" i="5" s="1"/>
  <c r="N48" i="4"/>
  <c r="M48" i="4"/>
  <c r="L48" i="4"/>
  <c r="K48" i="4"/>
  <c r="J48" i="4"/>
  <c r="I48" i="4"/>
  <c r="H48" i="4"/>
  <c r="G48" i="4"/>
  <c r="F48" i="4"/>
  <c r="E48" i="4"/>
  <c r="D48" i="4"/>
  <c r="C48" i="4"/>
  <c r="N47" i="4"/>
  <c r="M47" i="4"/>
  <c r="L47" i="4"/>
  <c r="K47" i="4"/>
  <c r="J47" i="4"/>
  <c r="I47" i="4"/>
  <c r="H47" i="4"/>
  <c r="G47" i="4"/>
  <c r="F47" i="4"/>
  <c r="E47" i="4"/>
  <c r="D47" i="4"/>
  <c r="C47" i="4"/>
  <c r="N42" i="4"/>
  <c r="M42" i="4"/>
  <c r="L42" i="4"/>
  <c r="K42" i="4"/>
  <c r="J42" i="4"/>
  <c r="I42" i="4"/>
  <c r="H42" i="4"/>
  <c r="G42" i="4"/>
  <c r="F42" i="4"/>
  <c r="E42" i="4"/>
  <c r="D42" i="4"/>
  <c r="C42" i="4"/>
  <c r="N41" i="4"/>
  <c r="M41" i="4"/>
  <c r="L41" i="4"/>
  <c r="K41" i="4"/>
  <c r="J41" i="4"/>
  <c r="I41" i="4"/>
  <c r="H41" i="4"/>
  <c r="G41" i="4"/>
  <c r="F41" i="4"/>
  <c r="E41" i="4"/>
  <c r="D41" i="4"/>
  <c r="C41" i="4"/>
  <c r="N38" i="4"/>
  <c r="N39" i="4" s="1"/>
  <c r="N40" i="4" s="1"/>
  <c r="M38" i="4"/>
  <c r="M39" i="4" s="1"/>
  <c r="M40" i="4" s="1"/>
  <c r="L38" i="4"/>
  <c r="L39" i="4" s="1"/>
  <c r="L40" i="4" s="1"/>
  <c r="K38" i="4"/>
  <c r="K39" i="4" s="1"/>
  <c r="J38" i="4"/>
  <c r="J39" i="4" s="1"/>
  <c r="J40" i="4" s="1"/>
  <c r="I38" i="4"/>
  <c r="I39" i="4" s="1"/>
  <c r="I40" i="4" s="1"/>
  <c r="H38" i="4"/>
  <c r="H39" i="4" s="1"/>
  <c r="H40" i="4" s="1"/>
  <c r="G38" i="4"/>
  <c r="G39" i="4" s="1"/>
  <c r="G40" i="4" s="1"/>
  <c r="F38" i="4"/>
  <c r="F39" i="4" s="1"/>
  <c r="F40" i="4" s="1"/>
  <c r="E38" i="4"/>
  <c r="E39" i="4" s="1"/>
  <c r="E40" i="4" s="1"/>
  <c r="D38" i="4"/>
  <c r="D39" i="4" s="1"/>
  <c r="D40" i="4" s="1"/>
  <c r="C38" i="4"/>
  <c r="C39" i="4" s="1"/>
  <c r="N48" i="3"/>
  <c r="M48" i="3"/>
  <c r="L48" i="3"/>
  <c r="K48" i="3"/>
  <c r="J48" i="3"/>
  <c r="I48" i="3"/>
  <c r="H48" i="3"/>
  <c r="G48" i="3"/>
  <c r="F48" i="3"/>
  <c r="E48" i="3"/>
  <c r="D48" i="3"/>
  <c r="C48" i="3"/>
  <c r="N47" i="3"/>
  <c r="M47" i="3"/>
  <c r="L47" i="3"/>
  <c r="K47" i="3"/>
  <c r="J47" i="3"/>
  <c r="I47" i="3"/>
  <c r="H47" i="3"/>
  <c r="G47" i="3"/>
  <c r="F47" i="3"/>
  <c r="E47" i="3"/>
  <c r="D47" i="3"/>
  <c r="C47" i="3"/>
  <c r="N42" i="3"/>
  <c r="M42" i="3"/>
  <c r="L42" i="3"/>
  <c r="K42" i="3"/>
  <c r="J42" i="3"/>
  <c r="I42" i="3"/>
  <c r="H42" i="3"/>
  <c r="G42" i="3"/>
  <c r="F42" i="3"/>
  <c r="E42" i="3"/>
  <c r="D42" i="3"/>
  <c r="C42" i="3"/>
  <c r="N41" i="3"/>
  <c r="M41" i="3"/>
  <c r="L41" i="3"/>
  <c r="K41" i="3"/>
  <c r="J41" i="3"/>
  <c r="I41" i="3"/>
  <c r="H41" i="3"/>
  <c r="G41" i="3"/>
  <c r="F41" i="3"/>
  <c r="E41" i="3"/>
  <c r="D41" i="3"/>
  <c r="C41" i="3"/>
  <c r="N38" i="3"/>
  <c r="N39" i="3" s="1"/>
  <c r="N40" i="3" s="1"/>
  <c r="M38" i="3"/>
  <c r="M39" i="3" s="1"/>
  <c r="M40" i="3" s="1"/>
  <c r="L38" i="3"/>
  <c r="L39" i="3" s="1"/>
  <c r="L40" i="3" s="1"/>
  <c r="K38" i="3"/>
  <c r="K39" i="3" s="1"/>
  <c r="K40" i="3" s="1"/>
  <c r="J38" i="3"/>
  <c r="J39" i="3" s="1"/>
  <c r="J40" i="3" s="1"/>
  <c r="I38" i="3"/>
  <c r="I39" i="3" s="1"/>
  <c r="I40" i="3" s="1"/>
  <c r="H38" i="3"/>
  <c r="H39" i="3" s="1"/>
  <c r="H40" i="3" s="1"/>
  <c r="G38" i="3"/>
  <c r="G39" i="3" s="1"/>
  <c r="F38" i="3"/>
  <c r="F39" i="3" s="1"/>
  <c r="F40" i="3" s="1"/>
  <c r="E38" i="3"/>
  <c r="E39" i="3" s="1"/>
  <c r="E40" i="3" s="1"/>
  <c r="D38" i="3"/>
  <c r="D39" i="3" s="1"/>
  <c r="D40" i="3" s="1"/>
  <c r="C38" i="3"/>
  <c r="C39" i="3" s="1"/>
  <c r="C40" i="3" s="1"/>
  <c r="N48" i="1"/>
  <c r="M48" i="1"/>
  <c r="L48" i="1"/>
  <c r="K48" i="1"/>
  <c r="J48" i="1"/>
  <c r="I48" i="1"/>
  <c r="H48" i="1"/>
  <c r="G48" i="1"/>
  <c r="F48" i="1"/>
  <c r="E48" i="1"/>
  <c r="D48" i="1"/>
  <c r="C48" i="1"/>
  <c r="N47" i="1"/>
  <c r="M47" i="1"/>
  <c r="L47" i="1"/>
  <c r="K47" i="1"/>
  <c r="J47" i="1"/>
  <c r="I47" i="1"/>
  <c r="H47" i="1"/>
  <c r="G47" i="1"/>
  <c r="F47" i="1"/>
  <c r="E47" i="1"/>
  <c r="D47" i="1"/>
  <c r="C47" i="1"/>
  <c r="N42" i="1"/>
  <c r="M42" i="1"/>
  <c r="L42" i="1"/>
  <c r="K42" i="1"/>
  <c r="J42" i="1"/>
  <c r="I42" i="1"/>
  <c r="H42" i="1"/>
  <c r="G42" i="1"/>
  <c r="F42" i="1"/>
  <c r="E42" i="1"/>
  <c r="D42" i="1"/>
  <c r="C42" i="1"/>
  <c r="N41" i="1"/>
  <c r="M41" i="1"/>
  <c r="L41" i="1"/>
  <c r="K41" i="1"/>
  <c r="J41" i="1"/>
  <c r="I41" i="1"/>
  <c r="H41" i="1"/>
  <c r="G41" i="1"/>
  <c r="F41" i="1"/>
  <c r="E41" i="1"/>
  <c r="D41" i="1"/>
  <c r="C41" i="1"/>
  <c r="N38" i="1"/>
  <c r="N39" i="1" s="1"/>
  <c r="N40" i="1" s="1"/>
  <c r="M38" i="1"/>
  <c r="M39" i="1" s="1"/>
  <c r="M40" i="1" s="1"/>
  <c r="L38" i="1"/>
  <c r="L39" i="1" s="1"/>
  <c r="L40" i="1" s="1"/>
  <c r="K38" i="1"/>
  <c r="K39" i="1" s="1"/>
  <c r="J38" i="1"/>
  <c r="J39" i="1" s="1"/>
  <c r="J40" i="1" s="1"/>
  <c r="I38" i="1"/>
  <c r="I39" i="1" s="1"/>
  <c r="I40" i="1" s="1"/>
  <c r="H38" i="1"/>
  <c r="H39" i="1" s="1"/>
  <c r="H40" i="1" s="1"/>
  <c r="G38" i="1"/>
  <c r="G39" i="1" s="1"/>
  <c r="F38" i="1"/>
  <c r="F39" i="1" s="1"/>
  <c r="F40" i="1" s="1"/>
  <c r="E38" i="1"/>
  <c r="E39" i="1" s="1"/>
  <c r="E40" i="1" s="1"/>
  <c r="D38" i="1"/>
  <c r="D39" i="1" s="1"/>
  <c r="D40" i="1" s="1"/>
  <c r="C38" i="1"/>
  <c r="C39" i="1" s="1"/>
  <c r="M40" i="16" l="1"/>
  <c r="M40" i="13"/>
  <c r="H40" i="14"/>
  <c r="H40" i="10"/>
  <c r="G40" i="15"/>
  <c r="G40" i="11"/>
  <c r="G40" i="10"/>
  <c r="N40" i="9"/>
  <c r="N40" i="10"/>
  <c r="C40" i="1"/>
  <c r="K40" i="1"/>
  <c r="G40" i="1"/>
  <c r="G40" i="3"/>
  <c r="C40" i="4"/>
  <c r="K40" i="4"/>
</calcChain>
</file>

<file path=xl/comments1.xml><?xml version="1.0" encoding="utf-8"?>
<comments xmlns="http://schemas.openxmlformats.org/spreadsheetml/2006/main">
  <authors>
    <author>Rikard Pavelic</author>
  </authors>
  <commentList>
    <comment ref="G66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with an exception</t>
        </r>
      </text>
    </comment>
  </commentList>
</comments>
</file>

<file path=xl/sharedStrings.xml><?xml version="1.0" encoding="utf-8"?>
<sst xmlns="http://schemas.openxmlformats.org/spreadsheetml/2006/main" count="1531" uniqueCount="55">
  <si>
    <t>Serialization</t>
  </si>
  <si>
    <t>Deserialization</t>
  </si>
  <si>
    <t>Average</t>
  </si>
  <si>
    <t>Deviation</t>
  </si>
  <si>
    <t>Size</t>
  </si>
  <si>
    <t>Newtonsoft (size)</t>
  </si>
  <si>
    <t>Jackson</t>
  </si>
  <si>
    <t>Jackson (size)</t>
  </si>
  <si>
    <t>Service Stack</t>
  </si>
  <si>
    <t>Instance + serialization + deserialization:</t>
  </si>
  <si>
    <t>Instance:</t>
  </si>
  <si>
    <t>Instance + serialization:</t>
  </si>
  <si>
    <t>Newtonsoft</t>
  </si>
  <si>
    <t>Revenj</t>
  </si>
  <si>
    <t>Gson</t>
  </si>
  <si>
    <t>Revenj (size)</t>
  </si>
  <si>
    <t>Service Stack (size)</t>
  </si>
  <si>
    <t>Jil (size)</t>
  </si>
  <si>
    <t>NetJSON (size)</t>
  </si>
  <si>
    <t>Gson (size)</t>
  </si>
  <si>
    <t>NetJSON</t>
  </si>
  <si>
    <t>Jil</t>
  </si>
  <si>
    <t>Instance</t>
  </si>
  <si>
    <t>All</t>
  </si>
  <si>
    <t>Jackson afterburner</t>
  </si>
  <si>
    <t>Alibaba</t>
  </si>
  <si>
    <t>Boon</t>
  </si>
  <si>
    <t>Boon (size)</t>
  </si>
  <si>
    <t>Alibaba (size)</t>
  </si>
  <si>
    <t>DSL-JSON</t>
  </si>
  <si>
    <t>DSL-JSON (size)</t>
  </si>
  <si>
    <t>ProtoBuf (binary reference)</t>
  </si>
  <si>
    <t>Protobuf (binary reference)</t>
  </si>
  <si>
    <t>Kryo (binary reference)</t>
  </si>
  <si>
    <t>ProtoBuf (size)</t>
  </si>
  <si>
    <t>Kryo (size)</t>
  </si>
  <si>
    <t>Startup times: SmallObject.Message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</si>
  <si>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</si>
  <si>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</si>
  <si>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</si>
  <si>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</si>
  <si>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</si>
  <si>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</si>
  <si>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</si>
  <si>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</si>
  <si>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</si>
  <si>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10.000 StandardObjects.DeletePost</t>
  </si>
  <si>
    <t>100.000 StandardObjects.DeletePost</t>
  </si>
  <si>
    <t>1.000.000 StandardObjects.DeletePost</t>
  </si>
  <si>
    <t>10.000 StandardObjects.Post</t>
  </si>
  <si>
    <t>100.000 StandardObjects.Post</t>
  </si>
  <si>
    <t>1.000.000 StandardObjects.Post</t>
  </si>
  <si>
    <t>100 LargeObjects.Book</t>
  </si>
  <si>
    <t>1.000 LargeObjects.Book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</si>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</sst>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43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Startup!$B$39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Startup!$C$39:$N$39</c:f>
              <c:numCache>
                <c:formatCode>#,##0.0</c:formatCode>
                <c:ptCount val="12"/>
                <c:pt idx="0">
                  <c:v>82.666666666666657</c:v>
                </c:pt>
                <c:pt idx="1">
                  <c:v>2.6666666666666572</c:v>
                </c:pt>
                <c:pt idx="2">
                  <c:v>30.666666666666657</c:v>
                </c:pt>
                <c:pt idx="3">
                  <c:v>129</c:v>
                </c:pt>
                <c:pt idx="4">
                  <c:v>195.66666666666666</c:v>
                </c:pt>
                <c:pt idx="5">
                  <c:v>65.666666666666686</c:v>
                </c:pt>
                <c:pt idx="6">
                  <c:v>82</c:v>
                </c:pt>
                <c:pt idx="7">
                  <c:v>0</c:v>
                </c:pt>
                <c:pt idx="8">
                  <c:v>14</c:v>
                </c:pt>
                <c:pt idx="9">
                  <c:v>72</c:v>
                </c:pt>
                <c:pt idx="10">
                  <c:v>166</c:v>
                </c:pt>
                <c:pt idx="11">
                  <c:v>23.333333333333332</c:v>
                </c:pt>
              </c:numCache>
            </c:numRef>
          </c:val>
        </c:ser>
        <c:ser>
          <c:idx val="1"/>
          <c:order val="1"/>
          <c:tx>
            <c:strRef>
              <c:f>Startup!$B$40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Startup!$C$40:$N$40</c:f>
              <c:numCache>
                <c:formatCode>#,##0.0</c:formatCode>
                <c:ptCount val="12"/>
                <c:pt idx="0">
                  <c:v>15.666666666666686</c:v>
                </c:pt>
                <c:pt idx="1">
                  <c:v>8.3333333333333428</c:v>
                </c:pt>
                <c:pt idx="2">
                  <c:v>2.6666666666666856</c:v>
                </c:pt>
                <c:pt idx="3">
                  <c:v>22.333333333333314</c:v>
                </c:pt>
                <c:pt idx="4">
                  <c:v>64.666666666666686</c:v>
                </c:pt>
                <c:pt idx="5">
                  <c:v>1.3333333333333144</c:v>
                </c:pt>
                <c:pt idx="6">
                  <c:v>32</c:v>
                </c:pt>
                <c:pt idx="7">
                  <c:v>1</c:v>
                </c:pt>
                <c:pt idx="8">
                  <c:v>12</c:v>
                </c:pt>
                <c:pt idx="9">
                  <c:v>26.333333333333329</c:v>
                </c:pt>
                <c:pt idx="10">
                  <c:v>17.333333333333343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446144"/>
        <c:axId val="225447936"/>
      </c:barChart>
      <c:catAx>
        <c:axId val="225446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447936"/>
        <c:crosses val="autoZero"/>
        <c:auto val="1"/>
        <c:lblAlgn val="ctr"/>
        <c:lblOffset val="100"/>
        <c:noMultiLvlLbl val="0"/>
      </c:catAx>
      <c:valAx>
        <c:axId val="225447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2544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1'!$C$42:$N$42</c:f>
              <c:numCache>
                <c:formatCode>#,##0</c:formatCode>
                <c:ptCount val="12"/>
                <c:pt idx="0">
                  <c:v>3346889</c:v>
                </c:pt>
                <c:pt idx="1">
                  <c:v>3346472</c:v>
                </c:pt>
                <c:pt idx="2">
                  <c:v>1658087</c:v>
                </c:pt>
                <c:pt idx="3">
                  <c:v>3346489</c:v>
                </c:pt>
                <c:pt idx="4" formatCode="#,##0.0">
                  <c:v>3346489</c:v>
                </c:pt>
                <c:pt idx="5" formatCode="#,##0.0">
                  <c:v>3346472</c:v>
                </c:pt>
                <c:pt idx="6" formatCode="#,##0.0">
                  <c:v>3346889</c:v>
                </c:pt>
                <c:pt idx="7" formatCode="#,##0.0">
                  <c:v>3346868</c:v>
                </c:pt>
                <c:pt idx="8" formatCode="#,##0.0">
                  <c:v>3351895</c:v>
                </c:pt>
                <c:pt idx="9" formatCode="#,##0.0">
                  <c:v>3346875</c:v>
                </c:pt>
                <c:pt idx="10" formatCode="#,##0.0">
                  <c:v>3346689</c:v>
                </c:pt>
                <c:pt idx="11" formatCode="#,##0.0">
                  <c:v>3346889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776192"/>
        <c:axId val="226777728"/>
      </c:barChart>
      <c:catAx>
        <c:axId val="226776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777728"/>
        <c:crosses val="autoZero"/>
        <c:auto val="1"/>
        <c:lblAlgn val="ctr"/>
        <c:lblOffset val="100"/>
        <c:noMultiLvlLbl val="0"/>
      </c:catAx>
      <c:valAx>
        <c:axId val="22677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677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2'!$C$39:$N$39</c:f>
              <c:numCache>
                <c:formatCode>#,##0.0</c:formatCode>
                <c:ptCount val="12"/>
                <c:pt idx="0">
                  <c:v>5678</c:v>
                </c:pt>
                <c:pt idx="1">
                  <c:v>2050</c:v>
                </c:pt>
                <c:pt idx="2">
                  <c:v>988.66666666666674</c:v>
                </c:pt>
                <c:pt idx="3">
                  <c:v>3469.666666666667</c:v>
                </c:pt>
                <c:pt idx="4">
                  <c:v>5053.666666666667</c:v>
                </c:pt>
                <c:pt idx="5">
                  <c:v>2113.333333333333</c:v>
                </c:pt>
                <c:pt idx="6">
                  <c:v>853</c:v>
                </c:pt>
                <c:pt idx="7">
                  <c:v>456.66666666666669</c:v>
                </c:pt>
                <c:pt idx="8">
                  <c:v>411.33333333333337</c:v>
                </c:pt>
                <c:pt idx="9">
                  <c:v>3371</c:v>
                </c:pt>
                <c:pt idx="10">
                  <c:v>2814</c:v>
                </c:pt>
                <c:pt idx="11">
                  <c:v>3886</c:v>
                </c:pt>
              </c:numCache>
            </c:numRef>
          </c:val>
        </c:ser>
        <c:ser>
          <c:idx val="1"/>
          <c:order val="1"/>
          <c:tx>
            <c:strRef>
              <c:f>'Small C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2'!$C$40:$N$40</c:f>
              <c:numCache>
                <c:formatCode>#,##0.0</c:formatCode>
                <c:ptCount val="12"/>
                <c:pt idx="0">
                  <c:v>8542</c:v>
                </c:pt>
                <c:pt idx="1">
                  <c:v>2199.6666666666665</c:v>
                </c:pt>
                <c:pt idx="2">
                  <c:v>1361.666666666667</c:v>
                </c:pt>
                <c:pt idx="3">
                  <c:v>9344.3333333333321</c:v>
                </c:pt>
                <c:pt idx="4">
                  <c:v>2721.9999999999995</c:v>
                </c:pt>
                <c:pt idx="5">
                  <c:v>3311.3333333333335</c:v>
                </c:pt>
                <c:pt idx="6">
                  <c:v>1221.6666666666667</c:v>
                </c:pt>
                <c:pt idx="7">
                  <c:v>532.33333333333326</c:v>
                </c:pt>
                <c:pt idx="8">
                  <c:v>559.33333333333337</c:v>
                </c:pt>
                <c:pt idx="9">
                  <c:v>6214.333333333333</c:v>
                </c:pt>
                <c:pt idx="10">
                  <c:v>1044.6666666666663</c:v>
                </c:pt>
                <c:pt idx="11">
                  <c:v>1867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70560"/>
        <c:axId val="227229696"/>
      </c:barChart>
      <c:catAx>
        <c:axId val="227170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7229696"/>
        <c:crosses val="autoZero"/>
        <c:auto val="1"/>
        <c:lblAlgn val="ctr"/>
        <c:lblOffset val="100"/>
        <c:noMultiLvlLbl val="0"/>
      </c:catAx>
      <c:valAx>
        <c:axId val="22722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2717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2'!$C$42:$N$42</c:f>
              <c:numCache>
                <c:formatCode>#,##0</c:formatCode>
                <c:ptCount val="12"/>
                <c:pt idx="0">
                  <c:v>36448889</c:v>
                </c:pt>
                <c:pt idx="1">
                  <c:v>36444872</c:v>
                </c:pt>
                <c:pt idx="2">
                  <c:v>16941514</c:v>
                </c:pt>
                <c:pt idx="3">
                  <c:v>36444889</c:v>
                </c:pt>
                <c:pt idx="4" formatCode="#,##0.0">
                  <c:v>36444889</c:v>
                </c:pt>
                <c:pt idx="5" formatCode="#,##0.0">
                  <c:v>36444872</c:v>
                </c:pt>
                <c:pt idx="6" formatCode="#,##0.0">
                  <c:v>36448889</c:v>
                </c:pt>
                <c:pt idx="7" formatCode="#,##0.0">
                  <c:v>36448868</c:v>
                </c:pt>
                <c:pt idx="8" formatCode="#,##0.0">
                  <c:v>33922404</c:v>
                </c:pt>
                <c:pt idx="9" formatCode="#,##0.0">
                  <c:v>36448875</c:v>
                </c:pt>
                <c:pt idx="10" formatCode="#,##0.0">
                  <c:v>36446889</c:v>
                </c:pt>
                <c:pt idx="11" formatCode="#,##0.0">
                  <c:v>36448889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62848"/>
        <c:axId val="227264384"/>
      </c:barChart>
      <c:catAx>
        <c:axId val="227262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7264384"/>
        <c:crosses val="autoZero"/>
        <c:auto val="1"/>
        <c:lblAlgn val="ctr"/>
        <c:lblOffset val="100"/>
        <c:noMultiLvlLbl val="0"/>
      </c:catAx>
      <c:valAx>
        <c:axId val="22726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726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3'!$C$39:$N$39</c:f>
              <c:numCache>
                <c:formatCode>#,##0.0</c:formatCode>
                <c:ptCount val="12"/>
                <c:pt idx="0">
                  <c:v>57888</c:v>
                </c:pt>
                <c:pt idx="1">
                  <c:v>19937.666666666664</c:v>
                </c:pt>
                <c:pt idx="2">
                  <c:v>9460</c:v>
                </c:pt>
                <c:pt idx="3">
                  <c:v>35444.333333333328</c:v>
                </c:pt>
                <c:pt idx="4">
                  <c:v>49913</c:v>
                </c:pt>
                <c:pt idx="5">
                  <c:v>21867</c:v>
                </c:pt>
                <c:pt idx="6">
                  <c:v>7444.6666666666661</c:v>
                </c:pt>
                <c:pt idx="7">
                  <c:v>4189</c:v>
                </c:pt>
                <c:pt idx="8">
                  <c:v>3358.6666666666665</c:v>
                </c:pt>
                <c:pt idx="9">
                  <c:v>33962.333333333328</c:v>
                </c:pt>
                <c:pt idx="10">
                  <c:v>27797.333333333332</c:v>
                </c:pt>
                <c:pt idx="11">
                  <c:v>39754.666666666672</c:v>
                </c:pt>
              </c:numCache>
            </c:numRef>
          </c:val>
        </c:ser>
        <c:ser>
          <c:idx val="1"/>
          <c:order val="1"/>
          <c:tx>
            <c:strRef>
              <c:f>'Small C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3'!$C$40:$N$40</c:f>
              <c:numCache>
                <c:formatCode>#,##0.0</c:formatCode>
                <c:ptCount val="12"/>
                <c:pt idx="0">
                  <c:v>85118.333333333343</c:v>
                </c:pt>
                <c:pt idx="1">
                  <c:v>23544.666666666668</c:v>
                </c:pt>
                <c:pt idx="2">
                  <c:v>16159.333333333336</c:v>
                </c:pt>
                <c:pt idx="3">
                  <c:v>95959.333333333343</c:v>
                </c:pt>
                <c:pt idx="4">
                  <c:v>29553.666666666661</c:v>
                </c:pt>
                <c:pt idx="5">
                  <c:v>31728</c:v>
                </c:pt>
                <c:pt idx="6">
                  <c:v>11985.666666666666</c:v>
                </c:pt>
                <c:pt idx="7">
                  <c:v>3882.3333333333339</c:v>
                </c:pt>
                <c:pt idx="8">
                  <c:v>5439.6666666666679</c:v>
                </c:pt>
                <c:pt idx="9">
                  <c:v>61888.666666666664</c:v>
                </c:pt>
                <c:pt idx="10">
                  <c:v>10294.666666666668</c:v>
                </c:pt>
                <c:pt idx="11">
                  <c:v>17868.999999999996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64704"/>
        <c:axId val="227466240"/>
      </c:barChart>
      <c:catAx>
        <c:axId val="227464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7466240"/>
        <c:crosses val="autoZero"/>
        <c:auto val="1"/>
        <c:lblAlgn val="ctr"/>
        <c:lblOffset val="100"/>
        <c:noMultiLvlLbl val="0"/>
      </c:catAx>
      <c:valAx>
        <c:axId val="227466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2746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3'!$C$42:$N$42</c:f>
              <c:numCache>
                <c:formatCode>#,##0</c:formatCode>
                <c:ptCount val="12"/>
                <c:pt idx="0">
                  <c:v>394468889</c:v>
                </c:pt>
                <c:pt idx="1">
                  <c:v>394428872</c:v>
                </c:pt>
                <c:pt idx="2">
                  <c:v>184924181</c:v>
                </c:pt>
                <c:pt idx="3">
                  <c:v>394428889</c:v>
                </c:pt>
                <c:pt idx="4" formatCode="#,##0.0">
                  <c:v>394428889</c:v>
                </c:pt>
                <c:pt idx="5" formatCode="#,##0.0">
                  <c:v>394428872</c:v>
                </c:pt>
                <c:pt idx="6" formatCode="#,##0.0">
                  <c:v>394468889</c:v>
                </c:pt>
                <c:pt idx="7" formatCode="#,##0.0">
                  <c:v>394468868</c:v>
                </c:pt>
                <c:pt idx="8" formatCode="#,##0.0">
                  <c:v>350301313</c:v>
                </c:pt>
                <c:pt idx="9" formatCode="#,##0.0">
                  <c:v>394468875</c:v>
                </c:pt>
                <c:pt idx="10" formatCode="#,##0.0">
                  <c:v>394448889</c:v>
                </c:pt>
                <c:pt idx="11" formatCode="#,##0.0">
                  <c:v>394468889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78912"/>
        <c:axId val="227505280"/>
      </c:barChart>
      <c:catAx>
        <c:axId val="227478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7505280"/>
        <c:crosses val="autoZero"/>
        <c:auto val="1"/>
        <c:lblAlgn val="ctr"/>
        <c:lblOffset val="100"/>
        <c:noMultiLvlLbl val="0"/>
      </c:catAx>
      <c:valAx>
        <c:axId val="22750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747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1'!$C$39:$N$39</c:f>
              <c:numCache>
                <c:formatCode>#,##0.0</c:formatCode>
                <c:ptCount val="12"/>
                <c:pt idx="0">
                  <c:v>578.33333333333326</c:v>
                </c:pt>
                <c:pt idx="1">
                  <c:v>210</c:v>
                </c:pt>
                <c:pt idx="2">
                  <c:v>191</c:v>
                </c:pt>
                <c:pt idx="3">
                  <c:v>434.99999999999994</c:v>
                </c:pt>
                <c:pt idx="4">
                  <c:v>715</c:v>
                </c:pt>
                <c:pt idx="5">
                  <c:v>454.33333333333337</c:v>
                </c:pt>
                <c:pt idx="6">
                  <c:v>239.33333333333331</c:v>
                </c:pt>
                <c:pt idx="7">
                  <c:v>119.66666666666669</c:v>
                </c:pt>
                <c:pt idx="8">
                  <c:v>108</c:v>
                </c:pt>
                <c:pt idx="9">
                  <c:v>630.66666666666663</c:v>
                </c:pt>
                <c:pt idx="10">
                  <c:v>722.33333333333348</c:v>
                </c:pt>
                <c:pt idx="11">
                  <c:v>822.66666666666674</c:v>
                </c:pt>
              </c:numCache>
            </c:numRef>
          </c:val>
        </c:ser>
        <c:ser>
          <c:idx val="1"/>
          <c:order val="1"/>
          <c:tx>
            <c:strRef>
              <c:f>'Small P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1'!$C$40:$N$40</c:f>
              <c:numCache>
                <c:formatCode>#,##0.0</c:formatCode>
                <c:ptCount val="12"/>
                <c:pt idx="0">
                  <c:v>1197.3333333333335</c:v>
                </c:pt>
                <c:pt idx="1">
                  <c:v>367.33333333333337</c:v>
                </c:pt>
                <c:pt idx="2">
                  <c:v>326.33333333333337</c:v>
                </c:pt>
                <c:pt idx="3">
                  <c:v>1907.3333333333333</c:v>
                </c:pt>
                <c:pt idx="4">
                  <c:v>520.66666666666674</c:v>
                </c:pt>
                <c:pt idx="5">
                  <c:v>1248.333333333333</c:v>
                </c:pt>
                <c:pt idx="6">
                  <c:v>421.66666666666657</c:v>
                </c:pt>
                <c:pt idx="7">
                  <c:v>82</c:v>
                </c:pt>
                <c:pt idx="8">
                  <c:v>75.999999999999943</c:v>
                </c:pt>
                <c:pt idx="9">
                  <c:v>0</c:v>
                </c:pt>
                <c:pt idx="10">
                  <c:v>515.99999999999977</c:v>
                </c:pt>
                <c:pt idx="11">
                  <c:v>943.33333333333326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095296"/>
        <c:axId val="227096832"/>
      </c:barChart>
      <c:catAx>
        <c:axId val="227095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7096832"/>
        <c:crosses val="autoZero"/>
        <c:auto val="1"/>
        <c:lblAlgn val="ctr"/>
        <c:lblOffset val="100"/>
        <c:noMultiLvlLbl val="0"/>
      </c:catAx>
      <c:valAx>
        <c:axId val="227096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2709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1'!$C$42:$N$42</c:f>
              <c:numCache>
                <c:formatCode>#,##0</c:formatCode>
                <c:ptCount val="12"/>
                <c:pt idx="0">
                  <c:v>11938890</c:v>
                </c:pt>
                <c:pt idx="1">
                  <c:v>10188890</c:v>
                </c:pt>
                <c:pt idx="2">
                  <c:v>4488890</c:v>
                </c:pt>
                <c:pt idx="3">
                  <c:v>11838890</c:v>
                </c:pt>
                <c:pt idx="4" formatCode="#,##0.0">
                  <c:v>11938890</c:v>
                </c:pt>
                <c:pt idx="5" formatCode="#,##0.0">
                  <c:v>11288890</c:v>
                </c:pt>
                <c:pt idx="6" formatCode="#,##0.0">
                  <c:v>10938890</c:v>
                </c:pt>
                <c:pt idx="7" formatCode="#,##0.0">
                  <c:v>10188890</c:v>
                </c:pt>
                <c:pt idx="8" formatCode="#,##0.0">
                  <c:v>3888890</c:v>
                </c:pt>
                <c:pt idx="9" formatCode="#,##0.0">
                  <c:v>8988890</c:v>
                </c:pt>
                <c:pt idx="10" formatCode="#,##0.0">
                  <c:v>10938890</c:v>
                </c:pt>
                <c:pt idx="11" formatCode="#,##0.0">
                  <c:v>10938890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21792"/>
        <c:axId val="227127680"/>
      </c:barChart>
      <c:catAx>
        <c:axId val="227121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7127680"/>
        <c:crosses val="autoZero"/>
        <c:auto val="1"/>
        <c:lblAlgn val="ctr"/>
        <c:lblOffset val="100"/>
        <c:noMultiLvlLbl val="0"/>
      </c:catAx>
      <c:valAx>
        <c:axId val="22712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712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2'!$C$39:$N$39</c:f>
              <c:numCache>
                <c:formatCode>#,##0.0</c:formatCode>
                <c:ptCount val="12"/>
                <c:pt idx="0">
                  <c:v>5803</c:v>
                </c:pt>
                <c:pt idx="1">
                  <c:v>2043.0000000000005</c:v>
                </c:pt>
                <c:pt idx="2">
                  <c:v>1889.9999999999995</c:v>
                </c:pt>
                <c:pt idx="3">
                  <c:v>4408</c:v>
                </c:pt>
                <c:pt idx="4">
                  <c:v>7280</c:v>
                </c:pt>
                <c:pt idx="5">
                  <c:v>4610.6666666666661</c:v>
                </c:pt>
                <c:pt idx="6">
                  <c:v>1476.333333333333</c:v>
                </c:pt>
                <c:pt idx="7">
                  <c:v>501.66666666666697</c:v>
                </c:pt>
                <c:pt idx="8">
                  <c:v>550</c:v>
                </c:pt>
                <c:pt idx="9">
                  <c:v>4453.6666666666661</c:v>
                </c:pt>
                <c:pt idx="10">
                  <c:v>4509</c:v>
                </c:pt>
                <c:pt idx="11">
                  <c:v>5944.3333333333339</c:v>
                </c:pt>
              </c:numCache>
            </c:numRef>
          </c:val>
        </c:ser>
        <c:ser>
          <c:idx val="1"/>
          <c:order val="1"/>
          <c:tx>
            <c:strRef>
              <c:f>'Small P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2'!$C$40:$N$40</c:f>
              <c:numCache>
                <c:formatCode>#,##0.0</c:formatCode>
                <c:ptCount val="12"/>
                <c:pt idx="0">
                  <c:v>11466.666666666668</c:v>
                </c:pt>
                <c:pt idx="1">
                  <c:v>3556.9999999999995</c:v>
                </c:pt>
                <c:pt idx="2">
                  <c:v>3370.0000000000005</c:v>
                </c:pt>
                <c:pt idx="3">
                  <c:v>18855</c:v>
                </c:pt>
                <c:pt idx="4">
                  <c:v>4864.6666666666679</c:v>
                </c:pt>
                <c:pt idx="5">
                  <c:v>12203.333333333336</c:v>
                </c:pt>
                <c:pt idx="6">
                  <c:v>2829.3333333333335</c:v>
                </c:pt>
                <c:pt idx="7">
                  <c:v>589.33333333333303</c:v>
                </c:pt>
                <c:pt idx="8">
                  <c:v>618.66666666666697</c:v>
                </c:pt>
                <c:pt idx="9">
                  <c:v>0</c:v>
                </c:pt>
                <c:pt idx="10">
                  <c:v>4054</c:v>
                </c:pt>
                <c:pt idx="11">
                  <c:v>5571.3333333333321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462592"/>
        <c:axId val="228464128"/>
      </c:barChart>
      <c:catAx>
        <c:axId val="228462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8464128"/>
        <c:crosses val="autoZero"/>
        <c:auto val="1"/>
        <c:lblAlgn val="ctr"/>
        <c:lblOffset val="100"/>
        <c:noMultiLvlLbl val="0"/>
      </c:catAx>
      <c:valAx>
        <c:axId val="228464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2846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2'!$C$42:$N$42</c:f>
              <c:numCache>
                <c:formatCode>#,##0</c:formatCode>
                <c:ptCount val="12"/>
                <c:pt idx="0">
                  <c:v>120388890</c:v>
                </c:pt>
                <c:pt idx="1">
                  <c:v>102888890</c:v>
                </c:pt>
                <c:pt idx="2">
                  <c:v>45888890</c:v>
                </c:pt>
                <c:pt idx="3">
                  <c:v>119388890</c:v>
                </c:pt>
                <c:pt idx="4" formatCode="#,##0.0">
                  <c:v>120388890</c:v>
                </c:pt>
                <c:pt idx="5" formatCode="#,##0.0">
                  <c:v>113888890</c:v>
                </c:pt>
                <c:pt idx="6" formatCode="#,##0.0">
                  <c:v>110388890</c:v>
                </c:pt>
                <c:pt idx="7" formatCode="#,##0.0">
                  <c:v>102888890</c:v>
                </c:pt>
                <c:pt idx="8" formatCode="#,##0.0">
                  <c:v>39888890</c:v>
                </c:pt>
                <c:pt idx="9" formatCode="#,##0.0">
                  <c:v>90888890</c:v>
                </c:pt>
                <c:pt idx="10" formatCode="#,##0.0">
                  <c:v>110388890</c:v>
                </c:pt>
                <c:pt idx="11" formatCode="#,##0.0">
                  <c:v>110388890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484992"/>
        <c:axId val="228486528"/>
      </c:barChart>
      <c:catAx>
        <c:axId val="228484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8486528"/>
        <c:crosses val="autoZero"/>
        <c:auto val="1"/>
        <c:lblAlgn val="ctr"/>
        <c:lblOffset val="100"/>
        <c:noMultiLvlLbl val="0"/>
      </c:catAx>
      <c:valAx>
        <c:axId val="228486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848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3'!$C$39:$N$39</c:f>
              <c:numCache>
                <c:formatCode>#,##0.0</c:formatCode>
                <c:ptCount val="12"/>
                <c:pt idx="0">
                  <c:v>58389.333333333336</c:v>
                </c:pt>
                <c:pt idx="1">
                  <c:v>21303</c:v>
                </c:pt>
                <c:pt idx="2">
                  <c:v>19204.666666666672</c:v>
                </c:pt>
                <c:pt idx="3">
                  <c:v>44822.666666666664</c:v>
                </c:pt>
                <c:pt idx="4">
                  <c:v>70017.333333333343</c:v>
                </c:pt>
                <c:pt idx="5">
                  <c:v>47567.333333333336</c:v>
                </c:pt>
                <c:pt idx="6">
                  <c:v>13196.999999999996</c:v>
                </c:pt>
                <c:pt idx="7">
                  <c:v>3919</c:v>
                </c:pt>
                <c:pt idx="8">
                  <c:v>4382.3333333333321</c:v>
                </c:pt>
                <c:pt idx="9">
                  <c:v>42281.666666666664</c:v>
                </c:pt>
                <c:pt idx="10">
                  <c:v>41569.666666666672</c:v>
                </c:pt>
                <c:pt idx="11">
                  <c:v>59064</c:v>
                </c:pt>
              </c:numCache>
            </c:numRef>
          </c:val>
        </c:ser>
        <c:ser>
          <c:idx val="1"/>
          <c:order val="1"/>
          <c:tx>
            <c:strRef>
              <c:f>'Small P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3'!$C$40:$N$40</c:f>
              <c:numCache>
                <c:formatCode>#,##0.0</c:formatCode>
                <c:ptCount val="12"/>
                <c:pt idx="0">
                  <c:v>117716.33333333331</c:v>
                </c:pt>
                <c:pt idx="1">
                  <c:v>36223.666666666664</c:v>
                </c:pt>
                <c:pt idx="2">
                  <c:v>33233.333333333336</c:v>
                </c:pt>
                <c:pt idx="3">
                  <c:v>190471</c:v>
                </c:pt>
                <c:pt idx="4">
                  <c:v>49923.666666666664</c:v>
                </c:pt>
                <c:pt idx="5">
                  <c:v>121975.66666666666</c:v>
                </c:pt>
                <c:pt idx="6">
                  <c:v>29201.333333333332</c:v>
                </c:pt>
                <c:pt idx="7">
                  <c:v>5017</c:v>
                </c:pt>
                <c:pt idx="8">
                  <c:v>4040.6666666666679</c:v>
                </c:pt>
                <c:pt idx="9">
                  <c:v>0</c:v>
                </c:pt>
                <c:pt idx="10">
                  <c:v>40548</c:v>
                </c:pt>
                <c:pt idx="11">
                  <c:v>54358.666666666672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511104"/>
        <c:axId val="228430976"/>
      </c:barChart>
      <c:catAx>
        <c:axId val="228511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8430976"/>
        <c:crosses val="autoZero"/>
        <c:auto val="1"/>
        <c:lblAlgn val="ctr"/>
        <c:lblOffset val="100"/>
        <c:noMultiLvlLbl val="0"/>
      </c:catAx>
      <c:valAx>
        <c:axId val="22843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2851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Startup!$B$42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Startup!$C$42:$N$42</c:f>
              <c:numCache>
                <c:formatCode>#,##0</c:formatCode>
                <c:ptCount val="12"/>
                <c:pt idx="0">
                  <c:v>40</c:v>
                </c:pt>
                <c:pt idx="1">
                  <c:v>28</c:v>
                </c:pt>
                <c:pt idx="2">
                  <c:v>16</c:v>
                </c:pt>
                <c:pt idx="3">
                  <c:v>40</c:v>
                </c:pt>
                <c:pt idx="4" formatCode="#,##0.0">
                  <c:v>40</c:v>
                </c:pt>
                <c:pt idx="5" formatCode="#,##0.0">
                  <c:v>28</c:v>
                </c:pt>
                <c:pt idx="6" formatCode="#,##0.0">
                  <c:v>40</c:v>
                </c:pt>
                <c:pt idx="7" formatCode="#,##0.0">
                  <c:v>28</c:v>
                </c:pt>
                <c:pt idx="8" formatCode="#,##0.0">
                  <c:v>15</c:v>
                </c:pt>
                <c:pt idx="9" formatCode="#,##0.0">
                  <c:v>28</c:v>
                </c:pt>
                <c:pt idx="10" formatCode="#,##0.0">
                  <c:v>40</c:v>
                </c:pt>
                <c:pt idx="11" formatCode="#,##0.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485184"/>
        <c:axId val="225486720"/>
      </c:barChart>
      <c:catAx>
        <c:axId val="225485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486720"/>
        <c:crosses val="autoZero"/>
        <c:auto val="1"/>
        <c:lblAlgn val="ctr"/>
        <c:lblOffset val="100"/>
        <c:noMultiLvlLbl val="0"/>
      </c:catAx>
      <c:valAx>
        <c:axId val="225486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548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3'!$C$42:$N$42</c:f>
              <c:numCache>
                <c:formatCode>#,##0</c:formatCode>
                <c:ptCount val="12"/>
                <c:pt idx="0">
                  <c:v>1213888890</c:v>
                </c:pt>
                <c:pt idx="1">
                  <c:v>1038888890</c:v>
                </c:pt>
                <c:pt idx="2">
                  <c:v>468888890</c:v>
                </c:pt>
                <c:pt idx="3">
                  <c:v>1203888890</c:v>
                </c:pt>
                <c:pt idx="4" formatCode="#,##0.0">
                  <c:v>1213888890</c:v>
                </c:pt>
                <c:pt idx="5" formatCode="#,##0.0">
                  <c:v>1148888890</c:v>
                </c:pt>
                <c:pt idx="6" formatCode="#,##0.0">
                  <c:v>1113888890</c:v>
                </c:pt>
                <c:pt idx="7" formatCode="#,##0.0">
                  <c:v>1038888890</c:v>
                </c:pt>
                <c:pt idx="8" formatCode="#,##0.0">
                  <c:v>408888890</c:v>
                </c:pt>
                <c:pt idx="9" formatCode="#,##0.0">
                  <c:v>918888890</c:v>
                </c:pt>
                <c:pt idx="10" formatCode="#,##0.0">
                  <c:v>1113888890</c:v>
                </c:pt>
                <c:pt idx="11" formatCode="#,##0.0">
                  <c:v>1113888890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053952"/>
        <c:axId val="229055488"/>
      </c:barChart>
      <c:catAx>
        <c:axId val="229053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9055488"/>
        <c:crosses val="autoZero"/>
        <c:auto val="1"/>
        <c:lblAlgn val="ctr"/>
        <c:lblOffset val="100"/>
        <c:noMultiLvlLbl val="0"/>
      </c:catAx>
      <c:valAx>
        <c:axId val="229055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905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1'!$C$39:$N$39</c:f>
              <c:numCache>
                <c:formatCode>#,##0.0</c:formatCode>
                <c:ptCount val="12"/>
                <c:pt idx="0">
                  <c:v>185.66666666666663</c:v>
                </c:pt>
                <c:pt idx="1">
                  <c:v>51.333333333333371</c:v>
                </c:pt>
                <c:pt idx="2">
                  <c:v>64.666666666666686</c:v>
                </c:pt>
                <c:pt idx="3">
                  <c:v>223.33333333333337</c:v>
                </c:pt>
                <c:pt idx="4">
                  <c:v>346.33333333333331</c:v>
                </c:pt>
                <c:pt idx="5">
                  <c:v>103.33333333333331</c:v>
                </c:pt>
                <c:pt idx="6">
                  <c:v>248.33333333333334</c:v>
                </c:pt>
                <c:pt idx="7">
                  <c:v>51.333333333333329</c:v>
                </c:pt>
                <c:pt idx="8">
                  <c:v>82.333333333333343</c:v>
                </c:pt>
                <c:pt idx="9">
                  <c:v>0</c:v>
                </c:pt>
                <c:pt idx="10">
                  <c:v>284.66666666666669</c:v>
                </c:pt>
                <c:pt idx="11">
                  <c:v>319.33333333333331</c:v>
                </c:pt>
              </c:numCache>
            </c:numRef>
          </c:val>
        </c:ser>
        <c:ser>
          <c:idx val="1"/>
          <c:order val="1"/>
          <c:tx>
            <c:strRef>
              <c:f>'Std D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1'!$C$40:$N$40</c:f>
              <c:numCache>
                <c:formatCode>#,##0.0</c:formatCode>
                <c:ptCount val="12"/>
                <c:pt idx="0">
                  <c:v>188.66666666666669</c:v>
                </c:pt>
                <c:pt idx="1">
                  <c:v>120.66666666666663</c:v>
                </c:pt>
                <c:pt idx="2">
                  <c:v>38</c:v>
                </c:pt>
                <c:pt idx="3">
                  <c:v>335.33333333333331</c:v>
                </c:pt>
                <c:pt idx="4">
                  <c:v>228.66666666666663</c:v>
                </c:pt>
                <c:pt idx="5">
                  <c:v>148.33333333333337</c:v>
                </c:pt>
                <c:pt idx="6">
                  <c:v>391.33333333333331</c:v>
                </c:pt>
                <c:pt idx="7">
                  <c:v>77.000000000000014</c:v>
                </c:pt>
                <c:pt idx="8">
                  <c:v>74</c:v>
                </c:pt>
                <c:pt idx="9">
                  <c:v>0</c:v>
                </c:pt>
                <c:pt idx="10">
                  <c:v>336</c:v>
                </c:pt>
                <c:pt idx="11">
                  <c:v>316.33333333333331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68832"/>
        <c:axId val="226574720"/>
      </c:barChart>
      <c:catAx>
        <c:axId val="226568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574720"/>
        <c:crosses val="autoZero"/>
        <c:auto val="1"/>
        <c:lblAlgn val="ctr"/>
        <c:lblOffset val="100"/>
        <c:noMultiLvlLbl val="0"/>
      </c:catAx>
      <c:valAx>
        <c:axId val="22657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2656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1'!$C$42:$N$42</c:f>
              <c:numCache>
                <c:formatCode>#,##0</c:formatCode>
                <c:ptCount val="12"/>
                <c:pt idx="0">
                  <c:v>2224454</c:v>
                </c:pt>
                <c:pt idx="1">
                  <c:v>1802584</c:v>
                </c:pt>
                <c:pt idx="2">
                  <c:v>704000</c:v>
                </c:pt>
                <c:pt idx="3">
                  <c:v>1740659</c:v>
                </c:pt>
                <c:pt idx="4" formatCode="#,##0.0">
                  <c:v>2249785</c:v>
                </c:pt>
                <c:pt idx="5" formatCode="#,##0.0">
                  <c:v>1788584</c:v>
                </c:pt>
                <c:pt idx="6" formatCode="#,##0.0">
                  <c:v>1763995</c:v>
                </c:pt>
                <c:pt idx="7" formatCode="#,##0.0">
                  <c:v>1762584</c:v>
                </c:pt>
                <c:pt idx="8" formatCode="#,##0.0">
                  <c:v>654855</c:v>
                </c:pt>
                <c:pt idx="9" formatCode="#,##0.0">
                  <c:v>0</c:v>
                </c:pt>
                <c:pt idx="10" formatCode="#,##0.0">
                  <c:v>1763995</c:v>
                </c:pt>
                <c:pt idx="11" formatCode="#,##0.0">
                  <c:v>1763995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573952"/>
        <c:axId val="228575488"/>
      </c:barChart>
      <c:catAx>
        <c:axId val="228573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8575488"/>
        <c:crosses val="autoZero"/>
        <c:auto val="1"/>
        <c:lblAlgn val="ctr"/>
        <c:lblOffset val="100"/>
        <c:noMultiLvlLbl val="0"/>
      </c:catAx>
      <c:valAx>
        <c:axId val="228575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857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2'!$C$39:$N$39</c:f>
              <c:numCache>
                <c:formatCode>#,##0.0</c:formatCode>
                <c:ptCount val="12"/>
                <c:pt idx="0">
                  <c:v>1108.6666666666667</c:v>
                </c:pt>
                <c:pt idx="1">
                  <c:v>458.66666666666663</c:v>
                </c:pt>
                <c:pt idx="2">
                  <c:v>251.99999999999994</c:v>
                </c:pt>
                <c:pt idx="3">
                  <c:v>1004.3333333333333</c:v>
                </c:pt>
                <c:pt idx="4">
                  <c:v>1488</c:v>
                </c:pt>
                <c:pt idx="5">
                  <c:v>637.33333333333337</c:v>
                </c:pt>
                <c:pt idx="6">
                  <c:v>573.33333333333337</c:v>
                </c:pt>
                <c:pt idx="7">
                  <c:v>155.66666666666669</c:v>
                </c:pt>
                <c:pt idx="8">
                  <c:v>159.66666666666669</c:v>
                </c:pt>
                <c:pt idx="9">
                  <c:v>0</c:v>
                </c:pt>
                <c:pt idx="10">
                  <c:v>857.66666666666674</c:v>
                </c:pt>
                <c:pt idx="11">
                  <c:v>1317</c:v>
                </c:pt>
              </c:numCache>
            </c:numRef>
          </c:val>
        </c:ser>
        <c:ser>
          <c:idx val="1"/>
          <c:order val="1"/>
          <c:tx>
            <c:strRef>
              <c:f>'Std D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2'!$C$40:$N$40</c:f>
              <c:numCache>
                <c:formatCode>#,##0.0</c:formatCode>
                <c:ptCount val="12"/>
                <c:pt idx="0">
                  <c:v>1668.6666666666667</c:v>
                </c:pt>
                <c:pt idx="1">
                  <c:v>1079.3333333333335</c:v>
                </c:pt>
                <c:pt idx="2">
                  <c:v>342.6666666666668</c:v>
                </c:pt>
                <c:pt idx="3">
                  <c:v>3113.666666666667</c:v>
                </c:pt>
                <c:pt idx="4">
                  <c:v>1052.6666666666665</c:v>
                </c:pt>
                <c:pt idx="5">
                  <c:v>1767.333333333333</c:v>
                </c:pt>
                <c:pt idx="6">
                  <c:v>945.33333333333337</c:v>
                </c:pt>
                <c:pt idx="7">
                  <c:v>284.66666666666663</c:v>
                </c:pt>
                <c:pt idx="8">
                  <c:v>171.66666666666669</c:v>
                </c:pt>
                <c:pt idx="9">
                  <c:v>0</c:v>
                </c:pt>
                <c:pt idx="10">
                  <c:v>1281</c:v>
                </c:pt>
                <c:pt idx="11">
                  <c:v>1263.3333333333333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08608"/>
        <c:axId val="229510144"/>
      </c:barChart>
      <c:catAx>
        <c:axId val="229508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9510144"/>
        <c:crosses val="autoZero"/>
        <c:auto val="1"/>
        <c:lblAlgn val="ctr"/>
        <c:lblOffset val="100"/>
        <c:noMultiLvlLbl val="0"/>
      </c:catAx>
      <c:valAx>
        <c:axId val="229510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2950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2'!$C$42:$N$42</c:f>
              <c:numCache>
                <c:formatCode>#,##0</c:formatCode>
                <c:ptCount val="12"/>
                <c:pt idx="0">
                  <c:v>23112667.666666668</c:v>
                </c:pt>
                <c:pt idx="1">
                  <c:v>18939843</c:v>
                </c:pt>
                <c:pt idx="2">
                  <c:v>7506385</c:v>
                </c:pt>
                <c:pt idx="3">
                  <c:v>18307918</c:v>
                </c:pt>
                <c:pt idx="4" formatCode="#,##0.0">
                  <c:v>23399332</c:v>
                </c:pt>
                <c:pt idx="5" formatCode="#,##0.0">
                  <c:v>18799843</c:v>
                </c:pt>
                <c:pt idx="6" formatCode="#,##0.0">
                  <c:v>18541254</c:v>
                </c:pt>
                <c:pt idx="7" formatCode="#,##0.0">
                  <c:v>18539843</c:v>
                </c:pt>
                <c:pt idx="8" formatCode="#,##0.0">
                  <c:v>7091834</c:v>
                </c:pt>
                <c:pt idx="9" formatCode="#,##0.0">
                  <c:v>0</c:v>
                </c:pt>
                <c:pt idx="10" formatCode="#,##0.0">
                  <c:v>18541254</c:v>
                </c:pt>
                <c:pt idx="11" formatCode="#,##0.0">
                  <c:v>18541254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47392"/>
        <c:axId val="229553280"/>
      </c:barChart>
      <c:catAx>
        <c:axId val="229547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9553280"/>
        <c:crosses val="autoZero"/>
        <c:auto val="1"/>
        <c:lblAlgn val="ctr"/>
        <c:lblOffset val="100"/>
        <c:noMultiLvlLbl val="0"/>
      </c:catAx>
      <c:valAx>
        <c:axId val="22955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954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3'!$C$39:$N$39</c:f>
              <c:numCache>
                <c:formatCode>#,##0.0</c:formatCode>
                <c:ptCount val="12"/>
                <c:pt idx="0">
                  <c:v>10589.333333333334</c:v>
                </c:pt>
                <c:pt idx="1">
                  <c:v>4400</c:v>
                </c:pt>
                <c:pt idx="2">
                  <c:v>2198</c:v>
                </c:pt>
                <c:pt idx="3">
                  <c:v>8834</c:v>
                </c:pt>
                <c:pt idx="4">
                  <c:v>12954</c:v>
                </c:pt>
                <c:pt idx="5">
                  <c:v>6055.666666666667</c:v>
                </c:pt>
                <c:pt idx="6">
                  <c:v>2080</c:v>
                </c:pt>
                <c:pt idx="7">
                  <c:v>770.33333333333337</c:v>
                </c:pt>
                <c:pt idx="8">
                  <c:v>651.66666666666663</c:v>
                </c:pt>
                <c:pt idx="9">
                  <c:v>0</c:v>
                </c:pt>
                <c:pt idx="10">
                  <c:v>5123</c:v>
                </c:pt>
                <c:pt idx="11">
                  <c:v>9455</c:v>
                </c:pt>
              </c:numCache>
            </c:numRef>
          </c:val>
        </c:ser>
        <c:ser>
          <c:idx val="1"/>
          <c:order val="1"/>
          <c:tx>
            <c:strRef>
              <c:f>'Std D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3'!$C$40:$N$40</c:f>
              <c:numCache>
                <c:formatCode>#,##0.0</c:formatCode>
                <c:ptCount val="12"/>
                <c:pt idx="0">
                  <c:v>16399.333333333336</c:v>
                </c:pt>
                <c:pt idx="1">
                  <c:v>10962.666666666666</c:v>
                </c:pt>
                <c:pt idx="2">
                  <c:v>3549</c:v>
                </c:pt>
                <c:pt idx="3">
                  <c:v>31338.666666666668</c:v>
                </c:pt>
                <c:pt idx="4">
                  <c:v>9284.9999999999982</c:v>
                </c:pt>
                <c:pt idx="5">
                  <c:v>23440</c:v>
                </c:pt>
                <c:pt idx="6">
                  <c:v>6771.333333333333</c:v>
                </c:pt>
                <c:pt idx="7">
                  <c:v>1386</c:v>
                </c:pt>
                <c:pt idx="8">
                  <c:v>923.66666666666663</c:v>
                </c:pt>
                <c:pt idx="9">
                  <c:v>0</c:v>
                </c:pt>
                <c:pt idx="10">
                  <c:v>7166.6666666666661</c:v>
                </c:pt>
                <c:pt idx="11">
                  <c:v>9007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23232"/>
        <c:axId val="229824768"/>
      </c:barChart>
      <c:catAx>
        <c:axId val="229823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9824768"/>
        <c:crosses val="autoZero"/>
        <c:auto val="1"/>
        <c:lblAlgn val="ctr"/>
        <c:lblOffset val="100"/>
        <c:noMultiLvlLbl val="0"/>
      </c:catAx>
      <c:valAx>
        <c:axId val="22982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2982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3'!$C$42:$N$42</c:f>
              <c:numCache>
                <c:formatCode>#,##0</c:formatCode>
                <c:ptCount val="12"/>
                <c:pt idx="0">
                  <c:v>240523562</c:v>
                </c:pt>
                <c:pt idx="1">
                  <c:v>197807889.33333334</c:v>
                </c:pt>
                <c:pt idx="2">
                  <c:v>79244720</c:v>
                </c:pt>
                <c:pt idx="3">
                  <c:v>192142631</c:v>
                </c:pt>
                <c:pt idx="4" formatCode="#,##0.0">
                  <c:v>243056893</c:v>
                </c:pt>
                <c:pt idx="5" formatCode="#,##0.0">
                  <c:v>197074556</c:v>
                </c:pt>
                <c:pt idx="6" formatCode="#,##0.0">
                  <c:v>194475967</c:v>
                </c:pt>
                <c:pt idx="7" formatCode="#,##0.0">
                  <c:v>194474556</c:v>
                </c:pt>
                <c:pt idx="8" formatCode="#,##0.0">
                  <c:v>74036454</c:v>
                </c:pt>
                <c:pt idx="9" formatCode="#,##0.0">
                  <c:v>0</c:v>
                </c:pt>
                <c:pt idx="10" formatCode="#,##0.0">
                  <c:v>194475967</c:v>
                </c:pt>
                <c:pt idx="11" formatCode="#,##0.0">
                  <c:v>194475967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00288"/>
        <c:axId val="230310272"/>
      </c:barChart>
      <c:catAx>
        <c:axId val="230300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30310272"/>
        <c:crosses val="autoZero"/>
        <c:auto val="1"/>
        <c:lblAlgn val="ctr"/>
        <c:lblOffset val="100"/>
        <c:noMultiLvlLbl val="0"/>
      </c:catAx>
      <c:valAx>
        <c:axId val="23031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3030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1'!$C$39:$N$39</c:f>
              <c:numCache>
                <c:formatCode>#,##0.0</c:formatCode>
                <c:ptCount val="12"/>
                <c:pt idx="0">
                  <c:v>3992</c:v>
                </c:pt>
                <c:pt idx="1">
                  <c:v>990.66666666666674</c:v>
                </c:pt>
                <c:pt idx="2">
                  <c:v>383.66666666666674</c:v>
                </c:pt>
                <c:pt idx="3">
                  <c:v>2439</c:v>
                </c:pt>
                <c:pt idx="4">
                  <c:v>4361.6666666666661</c:v>
                </c:pt>
                <c:pt idx="5">
                  <c:v>2185.666666666667</c:v>
                </c:pt>
                <c:pt idx="6">
                  <c:v>907.33333333333337</c:v>
                </c:pt>
                <c:pt idx="7">
                  <c:v>444.33333333333337</c:v>
                </c:pt>
                <c:pt idx="8">
                  <c:v>294.33333333333326</c:v>
                </c:pt>
                <c:pt idx="9">
                  <c:v>0</c:v>
                </c:pt>
                <c:pt idx="10">
                  <c:v>914.33333333333326</c:v>
                </c:pt>
                <c:pt idx="11">
                  <c:v>2935.6666666666665</c:v>
                </c:pt>
              </c:numCache>
            </c:numRef>
          </c:val>
        </c:ser>
        <c:ser>
          <c:idx val="1"/>
          <c:order val="1"/>
          <c:tx>
            <c:strRef>
              <c:f>'Std P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1'!$C$40:$N$40</c:f>
              <c:numCache>
                <c:formatCode>#,##0.0</c:formatCode>
                <c:ptCount val="12"/>
                <c:pt idx="0">
                  <c:v>3531.666666666667</c:v>
                </c:pt>
                <c:pt idx="1">
                  <c:v>2070.9999999999991</c:v>
                </c:pt>
                <c:pt idx="2">
                  <c:v>1030.666666666667</c:v>
                </c:pt>
                <c:pt idx="3">
                  <c:v>13613.999999999998</c:v>
                </c:pt>
                <c:pt idx="4">
                  <c:v>3237.333333333333</c:v>
                </c:pt>
                <c:pt idx="5">
                  <c:v>8956.6666666666661</c:v>
                </c:pt>
                <c:pt idx="6">
                  <c:v>1891.6666666666667</c:v>
                </c:pt>
                <c:pt idx="7">
                  <c:v>284.66666666666663</c:v>
                </c:pt>
                <c:pt idx="8">
                  <c:v>337.33333333333337</c:v>
                </c:pt>
                <c:pt idx="9">
                  <c:v>0</c:v>
                </c:pt>
                <c:pt idx="10">
                  <c:v>2175</c:v>
                </c:pt>
                <c:pt idx="11">
                  <c:v>2050.333333333333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48448"/>
        <c:axId val="230249984"/>
      </c:barChart>
      <c:catAx>
        <c:axId val="230248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30249984"/>
        <c:crosses val="autoZero"/>
        <c:auto val="1"/>
        <c:lblAlgn val="ctr"/>
        <c:lblOffset val="100"/>
        <c:noMultiLvlLbl val="0"/>
      </c:catAx>
      <c:valAx>
        <c:axId val="230249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3024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1'!$C$42:$N$42</c:f>
              <c:numCache>
                <c:formatCode>#,##0</c:formatCode>
                <c:ptCount val="12"/>
                <c:pt idx="0">
                  <c:v>83990285.333333328</c:v>
                </c:pt>
                <c:pt idx="1">
                  <c:v>73494967</c:v>
                </c:pt>
                <c:pt idx="2">
                  <c:v>35094918</c:v>
                </c:pt>
                <c:pt idx="3">
                  <c:v>79509317</c:v>
                </c:pt>
                <c:pt idx="4" formatCode="#,##0.0">
                  <c:v>84298017</c:v>
                </c:pt>
                <c:pt idx="5" formatCode="#,##0.0">
                  <c:v>78878495</c:v>
                </c:pt>
                <c:pt idx="6" formatCode="#,##0.0">
                  <c:v>73117617</c:v>
                </c:pt>
                <c:pt idx="7" formatCode="#,##0.0">
                  <c:v>72798613.666666672</c:v>
                </c:pt>
                <c:pt idx="8" formatCode="#,##0.0">
                  <c:v>31184505</c:v>
                </c:pt>
                <c:pt idx="9" formatCode="#,##0.0">
                  <c:v>0</c:v>
                </c:pt>
                <c:pt idx="10" formatCode="#,##0.0">
                  <c:v>73117617</c:v>
                </c:pt>
                <c:pt idx="11" formatCode="#,##0.0">
                  <c:v>73117617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79040"/>
        <c:axId val="230280576"/>
      </c:barChart>
      <c:catAx>
        <c:axId val="23027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30280576"/>
        <c:crosses val="autoZero"/>
        <c:auto val="1"/>
        <c:lblAlgn val="ctr"/>
        <c:lblOffset val="100"/>
        <c:noMultiLvlLbl val="0"/>
      </c:catAx>
      <c:valAx>
        <c:axId val="230280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3027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2'!$C$39:$N$39</c:f>
              <c:numCache>
                <c:formatCode>#,##0.0</c:formatCode>
                <c:ptCount val="12"/>
                <c:pt idx="0">
                  <c:v>38920.333333333336</c:v>
                </c:pt>
                <c:pt idx="1">
                  <c:v>10757</c:v>
                </c:pt>
                <c:pt idx="2">
                  <c:v>5181.9999999999982</c:v>
                </c:pt>
                <c:pt idx="3">
                  <c:v>23947.333333333336</c:v>
                </c:pt>
                <c:pt idx="4">
                  <c:v>42837.333333333328</c:v>
                </c:pt>
                <c:pt idx="5">
                  <c:v>20907.333333333328</c:v>
                </c:pt>
                <c:pt idx="6">
                  <c:v>6603</c:v>
                </c:pt>
                <c:pt idx="7">
                  <c:v>2180.333333333333</c:v>
                </c:pt>
                <c:pt idx="8">
                  <c:v>1888.6666666666665</c:v>
                </c:pt>
                <c:pt idx="9">
                  <c:v>0</c:v>
                </c:pt>
                <c:pt idx="10">
                  <c:v>7979.3333333333339</c:v>
                </c:pt>
                <c:pt idx="11">
                  <c:v>23914.333333333336</c:v>
                </c:pt>
              </c:numCache>
            </c:numRef>
          </c:val>
        </c:ser>
        <c:ser>
          <c:idx val="1"/>
          <c:order val="1"/>
          <c:tx>
            <c:strRef>
              <c:f>'Std P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2'!$C$40:$N$40</c:f>
              <c:numCache>
                <c:formatCode>#,##0.0</c:formatCode>
                <c:ptCount val="12"/>
                <c:pt idx="0">
                  <c:v>35153.333333333336</c:v>
                </c:pt>
                <c:pt idx="1">
                  <c:v>21892</c:v>
                </c:pt>
                <c:pt idx="2">
                  <c:v>9761.6666666666661</c:v>
                </c:pt>
                <c:pt idx="3">
                  <c:v>139719.33333333331</c:v>
                </c:pt>
                <c:pt idx="4">
                  <c:v>32277.666666666664</c:v>
                </c:pt>
                <c:pt idx="5">
                  <c:v>88399.333333333343</c:v>
                </c:pt>
                <c:pt idx="6">
                  <c:v>16127.333333333332</c:v>
                </c:pt>
                <c:pt idx="7">
                  <c:v>2685.666666666667</c:v>
                </c:pt>
                <c:pt idx="8">
                  <c:v>2640.0000000000005</c:v>
                </c:pt>
                <c:pt idx="9">
                  <c:v>0</c:v>
                </c:pt>
                <c:pt idx="10">
                  <c:v>13580.333333333334</c:v>
                </c:pt>
                <c:pt idx="11">
                  <c:v>21925.999999999996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04928"/>
        <c:axId val="228659968"/>
      </c:barChart>
      <c:catAx>
        <c:axId val="228604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8659968"/>
        <c:crosses val="autoZero"/>
        <c:auto val="1"/>
        <c:lblAlgn val="ctr"/>
        <c:lblOffset val="100"/>
        <c:noMultiLvlLbl val="0"/>
      </c:catAx>
      <c:valAx>
        <c:axId val="228659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2860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1'!$C$39:$N$39</c:f>
              <c:numCache>
                <c:formatCode>#,##0.0</c:formatCode>
                <c:ptCount val="12"/>
                <c:pt idx="0">
                  <c:v>402.66666666666669</c:v>
                </c:pt>
                <c:pt idx="1">
                  <c:v>115.33333333333337</c:v>
                </c:pt>
                <c:pt idx="2">
                  <c:v>116.66666666666669</c:v>
                </c:pt>
                <c:pt idx="3">
                  <c:v>336.66666666666669</c:v>
                </c:pt>
                <c:pt idx="4">
                  <c:v>611.33333333333326</c:v>
                </c:pt>
                <c:pt idx="5">
                  <c:v>201</c:v>
                </c:pt>
                <c:pt idx="6">
                  <c:v>228</c:v>
                </c:pt>
                <c:pt idx="7">
                  <c:v>33.999999999999993</c:v>
                </c:pt>
                <c:pt idx="8">
                  <c:v>54.666666666666671</c:v>
                </c:pt>
                <c:pt idx="9">
                  <c:v>611</c:v>
                </c:pt>
                <c:pt idx="10">
                  <c:v>611.33333333333326</c:v>
                </c:pt>
                <c:pt idx="11">
                  <c:v>624</c:v>
                </c:pt>
              </c:numCache>
            </c:numRef>
          </c:val>
        </c:ser>
        <c:ser>
          <c:idx val="1"/>
          <c:order val="1"/>
          <c:tx>
            <c:strRef>
              <c:f>'Small M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1'!$C$40:$N$40</c:f>
              <c:numCache>
                <c:formatCode>#,##0.0</c:formatCode>
                <c:ptCount val="12"/>
                <c:pt idx="0">
                  <c:v>624.99999999999977</c:v>
                </c:pt>
                <c:pt idx="1">
                  <c:v>213.66666666666669</c:v>
                </c:pt>
                <c:pt idx="2">
                  <c:v>245.33333333333326</c:v>
                </c:pt>
                <c:pt idx="3">
                  <c:v>937</c:v>
                </c:pt>
                <c:pt idx="4">
                  <c:v>288.6666666666668</c:v>
                </c:pt>
                <c:pt idx="5">
                  <c:v>284</c:v>
                </c:pt>
                <c:pt idx="6">
                  <c:v>294.33333333333337</c:v>
                </c:pt>
                <c:pt idx="7">
                  <c:v>88.666666666666657</c:v>
                </c:pt>
                <c:pt idx="8">
                  <c:v>70.666666666666671</c:v>
                </c:pt>
                <c:pt idx="9">
                  <c:v>805.00000000000011</c:v>
                </c:pt>
                <c:pt idx="10">
                  <c:v>161.00000000000003</c:v>
                </c:pt>
                <c:pt idx="11">
                  <c:v>305.66666666666669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883648"/>
        <c:axId val="225885184"/>
      </c:barChart>
      <c:catAx>
        <c:axId val="225883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885184"/>
        <c:crosses val="autoZero"/>
        <c:auto val="1"/>
        <c:lblAlgn val="ctr"/>
        <c:lblOffset val="100"/>
        <c:noMultiLvlLbl val="0"/>
      </c:catAx>
      <c:valAx>
        <c:axId val="225885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2588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2'!$C$42:$N$42</c:f>
              <c:numCache>
                <c:formatCode>#,##0</c:formatCode>
                <c:ptCount val="12"/>
                <c:pt idx="0">
                  <c:v>850871452</c:v>
                </c:pt>
                <c:pt idx="1">
                  <c:v>745341367</c:v>
                </c:pt>
                <c:pt idx="2">
                  <c:v>361164198</c:v>
                </c:pt>
                <c:pt idx="3">
                  <c:v>805545046</c:v>
                </c:pt>
                <c:pt idx="4" formatCode="#,##0.0">
                  <c:v>853371117</c:v>
                </c:pt>
                <c:pt idx="5" formatCode="#,##0.0">
                  <c:v>799181775</c:v>
                </c:pt>
                <c:pt idx="6" formatCode="#,##0.0">
                  <c:v>741567117</c:v>
                </c:pt>
                <c:pt idx="7" formatCode="#,##0.0">
                  <c:v>738363900.33333337</c:v>
                </c:pt>
                <c:pt idx="8" formatCode="#,##0.0">
                  <c:v>322172245</c:v>
                </c:pt>
                <c:pt idx="9" formatCode="#,##0.0">
                  <c:v>0</c:v>
                </c:pt>
                <c:pt idx="10" formatCode="#,##0.0">
                  <c:v>741567117</c:v>
                </c:pt>
                <c:pt idx="11" formatCode="#,##0.0">
                  <c:v>741567117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89024"/>
        <c:axId val="228690560"/>
      </c:barChart>
      <c:catAx>
        <c:axId val="228689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8690560"/>
        <c:crosses val="autoZero"/>
        <c:auto val="1"/>
        <c:lblAlgn val="ctr"/>
        <c:lblOffset val="100"/>
        <c:noMultiLvlLbl val="0"/>
      </c:catAx>
      <c:valAx>
        <c:axId val="228690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868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3'!$C$39:$N$39</c:f>
              <c:numCache>
                <c:formatCode>#,##0.0</c:formatCode>
                <c:ptCount val="12"/>
                <c:pt idx="0">
                  <c:v>403286</c:v>
                </c:pt>
                <c:pt idx="1">
                  <c:v>99486.333333333343</c:v>
                </c:pt>
                <c:pt idx="2">
                  <c:v>55934</c:v>
                </c:pt>
                <c:pt idx="3">
                  <c:v>240508.33333333334</c:v>
                </c:pt>
                <c:pt idx="4">
                  <c:v>440149.33333333326</c:v>
                </c:pt>
                <c:pt idx="5">
                  <c:v>216158.33333333334</c:v>
                </c:pt>
                <c:pt idx="6">
                  <c:v>65513.999999999993</c:v>
                </c:pt>
                <c:pt idx="7">
                  <c:v>21734</c:v>
                </c:pt>
                <c:pt idx="8">
                  <c:v>18210.333333333332</c:v>
                </c:pt>
                <c:pt idx="9">
                  <c:v>0</c:v>
                </c:pt>
                <c:pt idx="10">
                  <c:v>73519.666666666672</c:v>
                </c:pt>
                <c:pt idx="11">
                  <c:v>238497.33333333334</c:v>
                </c:pt>
              </c:numCache>
            </c:numRef>
          </c:val>
        </c:ser>
        <c:ser>
          <c:idx val="1"/>
          <c:order val="1"/>
          <c:tx>
            <c:strRef>
              <c:f>'Std P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3'!$C$40:$N$40</c:f>
              <c:numCache>
                <c:formatCode>#,##0.0</c:formatCode>
                <c:ptCount val="12"/>
                <c:pt idx="0">
                  <c:v>369393.66666666663</c:v>
                </c:pt>
                <c:pt idx="1">
                  <c:v>220314</c:v>
                </c:pt>
                <c:pt idx="2">
                  <c:v>93404.666666666657</c:v>
                </c:pt>
                <c:pt idx="3">
                  <c:v>1407572.0000000002</c:v>
                </c:pt>
                <c:pt idx="4">
                  <c:v>328337</c:v>
                </c:pt>
                <c:pt idx="5">
                  <c:v>867790.66666666651</c:v>
                </c:pt>
                <c:pt idx="6">
                  <c:v>164991.66666666666</c:v>
                </c:pt>
                <c:pt idx="7">
                  <c:v>26328</c:v>
                </c:pt>
                <c:pt idx="8">
                  <c:v>25216.333333333328</c:v>
                </c:pt>
                <c:pt idx="9">
                  <c:v>0</c:v>
                </c:pt>
                <c:pt idx="10">
                  <c:v>142858.33333333334</c:v>
                </c:pt>
                <c:pt idx="11">
                  <c:v>213874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35552"/>
        <c:axId val="230941440"/>
      </c:barChart>
      <c:catAx>
        <c:axId val="230935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30941440"/>
        <c:crosses val="autoZero"/>
        <c:auto val="1"/>
        <c:lblAlgn val="ctr"/>
        <c:lblOffset val="100"/>
        <c:noMultiLvlLbl val="0"/>
      </c:catAx>
      <c:valAx>
        <c:axId val="230941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3093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3'!$C$42:$N$42</c:f>
              <c:numCache>
                <c:formatCode>#,##0</c:formatCode>
                <c:ptCount val="12"/>
                <c:pt idx="0">
                  <c:v>8612705452</c:v>
                </c:pt>
                <c:pt idx="1">
                  <c:v>7557405367</c:v>
                </c:pt>
                <c:pt idx="2">
                  <c:v>3713376198</c:v>
                </c:pt>
                <c:pt idx="3">
                  <c:v>8204343046</c:v>
                </c:pt>
                <c:pt idx="4" formatCode="#,##0.0">
                  <c:v>8637702117</c:v>
                </c:pt>
                <c:pt idx="5" formatCode="#,##0.0">
                  <c:v>8095827375</c:v>
                </c:pt>
                <c:pt idx="6" formatCode="#,##0.0">
                  <c:v>7519662117</c:v>
                </c:pt>
                <c:pt idx="7" formatCode="#,##0.0">
                  <c:v>7487696700.333333</c:v>
                </c:pt>
                <c:pt idx="8" formatCode="#,##0.0">
                  <c:v>3323159245</c:v>
                </c:pt>
                <c:pt idx="9" formatCode="#,##0.0">
                  <c:v>0</c:v>
                </c:pt>
                <c:pt idx="10" formatCode="#,##0.0">
                  <c:v>7519662117</c:v>
                </c:pt>
                <c:pt idx="11" formatCode="#,##0.0">
                  <c:v>7519662117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58208"/>
        <c:axId val="230959744"/>
      </c:barChart>
      <c:catAx>
        <c:axId val="230958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30959744"/>
        <c:crosses val="autoZero"/>
        <c:auto val="1"/>
        <c:lblAlgn val="ctr"/>
        <c:lblOffset val="100"/>
        <c:noMultiLvlLbl val="0"/>
      </c:catAx>
      <c:valAx>
        <c:axId val="23095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3095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1'!$C$39:$N$39</c:f>
              <c:numCache>
                <c:formatCode>#,##0.0</c:formatCode>
                <c:ptCount val="12"/>
                <c:pt idx="0">
                  <c:v>2088.3333333333335</c:v>
                </c:pt>
                <c:pt idx="1">
                  <c:v>714.33333333333326</c:v>
                </c:pt>
                <c:pt idx="2">
                  <c:v>410.66666666666652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742.66666666666652</c:v>
                </c:pt>
                <c:pt idx="7">
                  <c:v>240</c:v>
                </c:pt>
                <c:pt idx="8">
                  <c:v>223.99999999999994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1'!$C$40:$N$40</c:f>
              <c:numCache>
                <c:formatCode>#,##0.0</c:formatCode>
                <c:ptCount val="12"/>
                <c:pt idx="0">
                  <c:v>2893.3333333333335</c:v>
                </c:pt>
                <c:pt idx="1">
                  <c:v>2037.3333333333333</c:v>
                </c:pt>
                <c:pt idx="2">
                  <c:v>747.33333333333326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1665.3333333333333</c:v>
                </c:pt>
                <c:pt idx="7">
                  <c:v>211.66666666666663</c:v>
                </c:pt>
                <c:pt idx="8">
                  <c:v>206.33333333333331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910784"/>
        <c:axId val="229953536"/>
      </c:barChart>
      <c:catAx>
        <c:axId val="229910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9953536"/>
        <c:crosses val="autoZero"/>
        <c:auto val="1"/>
        <c:lblAlgn val="ctr"/>
        <c:lblOffset val="100"/>
        <c:noMultiLvlLbl val="0"/>
      </c:catAx>
      <c:valAx>
        <c:axId val="22995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2991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'Large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1'!$C$42:$N$42</c:f>
              <c:numCache>
                <c:formatCode>#,##0</c:formatCode>
                <c:ptCount val="12"/>
                <c:pt idx="0">
                  <c:v>53427744</c:v>
                </c:pt>
                <c:pt idx="1">
                  <c:v>49266708</c:v>
                </c:pt>
                <c:pt idx="2">
                  <c:v>22929726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48174191</c:v>
                </c:pt>
                <c:pt idx="7" formatCode="#,##0.0">
                  <c:v>48172180</c:v>
                </c:pt>
                <c:pt idx="8" formatCode="#,##0.0">
                  <c:v>20305710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68320"/>
        <c:axId val="230569856"/>
      </c:barChart>
      <c:catAx>
        <c:axId val="230568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30569856"/>
        <c:crosses val="autoZero"/>
        <c:auto val="1"/>
        <c:lblAlgn val="ctr"/>
        <c:lblOffset val="100"/>
        <c:noMultiLvlLbl val="0"/>
      </c:catAx>
      <c:valAx>
        <c:axId val="230569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3056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2'!$C$39:$N$39</c:f>
              <c:numCache>
                <c:formatCode>#,##0.0</c:formatCode>
                <c:ptCount val="12"/>
                <c:pt idx="0">
                  <c:v>228650.33333333331</c:v>
                </c:pt>
                <c:pt idx="1">
                  <c:v>84556.999999999985</c:v>
                </c:pt>
                <c:pt idx="2">
                  <c:v>52005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47885.666666666664</c:v>
                </c:pt>
                <c:pt idx="7">
                  <c:v>26707.666666666664</c:v>
                </c:pt>
                <c:pt idx="8">
                  <c:v>23684.666666666664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2'!$C$40:$N$40</c:f>
              <c:numCache>
                <c:formatCode>#,##0.0</c:formatCode>
                <c:ptCount val="12"/>
                <c:pt idx="0">
                  <c:v>269288</c:v>
                </c:pt>
                <c:pt idx="1">
                  <c:v>207433</c:v>
                </c:pt>
                <c:pt idx="2">
                  <c:v>91967.333333333328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108051.66666666669</c:v>
                </c:pt>
                <c:pt idx="7">
                  <c:v>21607.666666666664</c:v>
                </c:pt>
                <c:pt idx="8">
                  <c:v>18830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88800"/>
        <c:axId val="232590336"/>
      </c:barChart>
      <c:catAx>
        <c:axId val="232588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32590336"/>
        <c:crosses val="autoZero"/>
        <c:auto val="1"/>
        <c:lblAlgn val="ctr"/>
        <c:lblOffset val="100"/>
        <c:noMultiLvlLbl val="0"/>
      </c:catAx>
      <c:valAx>
        <c:axId val="232590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325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'Large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2'!$C$42:$N$42</c:f>
              <c:numCache>
                <c:formatCode>#,##0</c:formatCode>
                <c:ptCount val="12"/>
                <c:pt idx="0">
                  <c:v>9797315916</c:v>
                </c:pt>
                <c:pt idx="1">
                  <c:v>9490545095</c:v>
                </c:pt>
                <c:pt idx="2">
                  <c:v>7473413088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9388368563</c:v>
                </c:pt>
                <c:pt idx="7" formatCode="#,##0.0">
                  <c:v>9388310815</c:v>
                </c:pt>
                <c:pt idx="8" formatCode="#,##0.0">
                  <c:v>7260003309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03008"/>
        <c:axId val="232633472"/>
      </c:barChart>
      <c:catAx>
        <c:axId val="232603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32633472"/>
        <c:crosses val="autoZero"/>
        <c:auto val="1"/>
        <c:lblAlgn val="ctr"/>
        <c:lblOffset val="100"/>
        <c:noMultiLvlLbl val="0"/>
      </c:catAx>
      <c:valAx>
        <c:axId val="232633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3260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1'!$C$42:$N$42</c:f>
              <c:numCache>
                <c:formatCode>#,##0</c:formatCode>
                <c:ptCount val="12"/>
                <c:pt idx="0">
                  <c:v>4777780</c:v>
                </c:pt>
                <c:pt idx="1">
                  <c:v>4777768</c:v>
                </c:pt>
                <c:pt idx="2">
                  <c:v>2372376</c:v>
                </c:pt>
                <c:pt idx="3">
                  <c:v>4777780</c:v>
                </c:pt>
                <c:pt idx="4" formatCode="#,##0.0">
                  <c:v>4777780</c:v>
                </c:pt>
                <c:pt idx="5" formatCode="#,##0.0">
                  <c:v>4777768</c:v>
                </c:pt>
                <c:pt idx="6" formatCode="#,##0.0">
                  <c:v>4777780</c:v>
                </c:pt>
                <c:pt idx="7" formatCode="#,##0.0">
                  <c:v>4777768</c:v>
                </c:pt>
                <c:pt idx="8" formatCode="#,##0.0">
                  <c:v>2080634</c:v>
                </c:pt>
                <c:pt idx="9" formatCode="#,##0.0">
                  <c:v>4777768</c:v>
                </c:pt>
                <c:pt idx="10" formatCode="#,##0.0">
                  <c:v>4777780</c:v>
                </c:pt>
                <c:pt idx="11" formatCode="#,##0.0">
                  <c:v>4777780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897856"/>
        <c:axId val="226178176"/>
      </c:barChart>
      <c:catAx>
        <c:axId val="225897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178176"/>
        <c:crosses val="autoZero"/>
        <c:auto val="1"/>
        <c:lblAlgn val="ctr"/>
        <c:lblOffset val="100"/>
        <c:noMultiLvlLbl val="0"/>
      </c:catAx>
      <c:valAx>
        <c:axId val="226178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589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2'!$C$39:$N$39</c:f>
              <c:numCache>
                <c:formatCode>#,##0.0</c:formatCode>
                <c:ptCount val="12"/>
                <c:pt idx="0">
                  <c:v>3355.333333333333</c:v>
                </c:pt>
                <c:pt idx="1">
                  <c:v>1104.3333333333333</c:v>
                </c:pt>
                <c:pt idx="2">
                  <c:v>1055.3333333333333</c:v>
                </c:pt>
                <c:pt idx="3">
                  <c:v>2237.666666666667</c:v>
                </c:pt>
                <c:pt idx="4">
                  <c:v>4557.666666666667</c:v>
                </c:pt>
                <c:pt idx="5">
                  <c:v>1316</c:v>
                </c:pt>
                <c:pt idx="6">
                  <c:v>550.33333333333337</c:v>
                </c:pt>
                <c:pt idx="7">
                  <c:v>158.99999999999997</c:v>
                </c:pt>
                <c:pt idx="8">
                  <c:v>181.33333333333334</c:v>
                </c:pt>
                <c:pt idx="9">
                  <c:v>3420.6666666666665</c:v>
                </c:pt>
                <c:pt idx="10">
                  <c:v>3359.3333333333335</c:v>
                </c:pt>
                <c:pt idx="11">
                  <c:v>3979.6666666666665</c:v>
                </c:pt>
              </c:numCache>
            </c:numRef>
          </c:val>
        </c:ser>
        <c:ser>
          <c:idx val="1"/>
          <c:order val="1"/>
          <c:tx>
            <c:strRef>
              <c:f>'Small M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2'!$C$40:$N$40</c:f>
              <c:numCache>
                <c:formatCode>#,##0.0</c:formatCode>
                <c:ptCount val="12"/>
                <c:pt idx="0">
                  <c:v>5639.666666666667</c:v>
                </c:pt>
                <c:pt idx="1">
                  <c:v>2128</c:v>
                </c:pt>
                <c:pt idx="2">
                  <c:v>2346.666666666667</c:v>
                </c:pt>
                <c:pt idx="3">
                  <c:v>9182.0000000000018</c:v>
                </c:pt>
                <c:pt idx="4">
                  <c:v>2380</c:v>
                </c:pt>
                <c:pt idx="5">
                  <c:v>2812</c:v>
                </c:pt>
                <c:pt idx="6">
                  <c:v>976</c:v>
                </c:pt>
                <c:pt idx="7">
                  <c:v>265</c:v>
                </c:pt>
                <c:pt idx="8">
                  <c:v>206.6666666666666</c:v>
                </c:pt>
                <c:pt idx="9">
                  <c:v>5331.666666666667</c:v>
                </c:pt>
                <c:pt idx="10">
                  <c:v>290.99999999999989</c:v>
                </c:pt>
                <c:pt idx="11">
                  <c:v>1439.9999999999998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059008"/>
        <c:axId val="226060544"/>
      </c:barChart>
      <c:catAx>
        <c:axId val="226059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060544"/>
        <c:crosses val="autoZero"/>
        <c:auto val="1"/>
        <c:lblAlgn val="ctr"/>
        <c:lblOffset val="100"/>
        <c:noMultiLvlLbl val="0"/>
      </c:catAx>
      <c:valAx>
        <c:axId val="22606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2605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2'!$C$42:$N$42</c:f>
              <c:numCache>
                <c:formatCode>#,##0</c:formatCode>
                <c:ptCount val="12"/>
                <c:pt idx="0">
                  <c:v>49777780</c:v>
                </c:pt>
                <c:pt idx="1">
                  <c:v>49777768</c:v>
                </c:pt>
                <c:pt idx="2">
                  <c:v>24872376</c:v>
                </c:pt>
                <c:pt idx="3">
                  <c:v>49777780</c:v>
                </c:pt>
                <c:pt idx="4" formatCode="#,##0.0">
                  <c:v>49777780</c:v>
                </c:pt>
                <c:pt idx="5" formatCode="#,##0.0">
                  <c:v>49777768</c:v>
                </c:pt>
                <c:pt idx="6" formatCode="#,##0.0">
                  <c:v>49777780</c:v>
                </c:pt>
                <c:pt idx="7" formatCode="#,##0.0">
                  <c:v>49777768</c:v>
                </c:pt>
                <c:pt idx="8" formatCode="#,##0.0">
                  <c:v>21880634</c:v>
                </c:pt>
                <c:pt idx="9" formatCode="#,##0.0">
                  <c:v>49777768</c:v>
                </c:pt>
                <c:pt idx="10" formatCode="#,##0.0">
                  <c:v>49777780</c:v>
                </c:pt>
                <c:pt idx="11" formatCode="#,##0.0">
                  <c:v>49777780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089600"/>
        <c:axId val="226091392"/>
      </c:barChart>
      <c:catAx>
        <c:axId val="226089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091392"/>
        <c:crosses val="autoZero"/>
        <c:auto val="1"/>
        <c:lblAlgn val="ctr"/>
        <c:lblOffset val="100"/>
        <c:noMultiLvlLbl val="0"/>
      </c:catAx>
      <c:valAx>
        <c:axId val="226091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608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3'!$C$39:$N$39</c:f>
              <c:numCache>
                <c:formatCode>#,##0.0</c:formatCode>
                <c:ptCount val="12"/>
                <c:pt idx="0">
                  <c:v>32261.666666666664</c:v>
                </c:pt>
                <c:pt idx="1">
                  <c:v>10536.666666666666</c:v>
                </c:pt>
                <c:pt idx="2">
                  <c:v>9826.3333333333339</c:v>
                </c:pt>
                <c:pt idx="3">
                  <c:v>21551</c:v>
                </c:pt>
                <c:pt idx="4">
                  <c:v>42678.666666666664</c:v>
                </c:pt>
                <c:pt idx="5">
                  <c:v>13363.666666666666</c:v>
                </c:pt>
                <c:pt idx="6">
                  <c:v>4280</c:v>
                </c:pt>
                <c:pt idx="7">
                  <c:v>1443.666666666667</c:v>
                </c:pt>
                <c:pt idx="8">
                  <c:v>1458.6666666666665</c:v>
                </c:pt>
                <c:pt idx="9">
                  <c:v>28440</c:v>
                </c:pt>
                <c:pt idx="10">
                  <c:v>25486.333333333336</c:v>
                </c:pt>
                <c:pt idx="11">
                  <c:v>32952.333333333336</c:v>
                </c:pt>
              </c:numCache>
            </c:numRef>
          </c:val>
        </c:ser>
        <c:ser>
          <c:idx val="1"/>
          <c:order val="1"/>
          <c:tx>
            <c:strRef>
              <c:f>'Small M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3'!$C$40:$N$40</c:f>
              <c:numCache>
                <c:formatCode>#,##0.0</c:formatCode>
                <c:ptCount val="12"/>
                <c:pt idx="0">
                  <c:v>59102</c:v>
                </c:pt>
                <c:pt idx="1">
                  <c:v>22699.666666666664</c:v>
                </c:pt>
                <c:pt idx="2">
                  <c:v>22155.666666666664</c:v>
                </c:pt>
                <c:pt idx="3">
                  <c:v>93065.333333333328</c:v>
                </c:pt>
                <c:pt idx="4">
                  <c:v>25191.333333333328</c:v>
                </c:pt>
                <c:pt idx="5">
                  <c:v>27481.333333333336</c:v>
                </c:pt>
                <c:pt idx="6">
                  <c:v>5915.6666666666661</c:v>
                </c:pt>
                <c:pt idx="7">
                  <c:v>2209.6666666666665</c:v>
                </c:pt>
                <c:pt idx="8">
                  <c:v>1585</c:v>
                </c:pt>
                <c:pt idx="9">
                  <c:v>51617.333333333336</c:v>
                </c:pt>
                <c:pt idx="10">
                  <c:v>4527.9999999999991</c:v>
                </c:pt>
                <c:pt idx="11">
                  <c:v>13164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430976"/>
        <c:axId val="226432512"/>
      </c:barChart>
      <c:catAx>
        <c:axId val="226430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432512"/>
        <c:crosses val="autoZero"/>
        <c:auto val="1"/>
        <c:lblAlgn val="ctr"/>
        <c:lblOffset val="100"/>
        <c:noMultiLvlLbl val="0"/>
      </c:catAx>
      <c:valAx>
        <c:axId val="226432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2643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3'!$C$42:$N$42</c:f>
              <c:numCache>
                <c:formatCode>#,##0</c:formatCode>
                <c:ptCount val="12"/>
                <c:pt idx="0">
                  <c:v>517777780</c:v>
                </c:pt>
                <c:pt idx="1">
                  <c:v>517777768</c:v>
                </c:pt>
                <c:pt idx="2">
                  <c:v>266775224</c:v>
                </c:pt>
                <c:pt idx="3">
                  <c:v>517777780</c:v>
                </c:pt>
                <c:pt idx="4" formatCode="#,##0.0">
                  <c:v>517777780</c:v>
                </c:pt>
                <c:pt idx="5" formatCode="#,##0.0">
                  <c:v>517777768</c:v>
                </c:pt>
                <c:pt idx="6" formatCode="#,##0.0">
                  <c:v>517777780</c:v>
                </c:pt>
                <c:pt idx="7" formatCode="#,##0.0">
                  <c:v>517777768</c:v>
                </c:pt>
                <c:pt idx="8" formatCode="#,##0.0">
                  <c:v>237832058</c:v>
                </c:pt>
                <c:pt idx="9" formatCode="#,##0.0">
                  <c:v>517777768</c:v>
                </c:pt>
                <c:pt idx="10" formatCode="#,##0.0">
                  <c:v>517777780</c:v>
                </c:pt>
                <c:pt idx="11" formatCode="#,##0.0">
                  <c:v>517777780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461568"/>
        <c:axId val="226463104"/>
      </c:barChart>
      <c:catAx>
        <c:axId val="226461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463104"/>
        <c:crosses val="autoZero"/>
        <c:auto val="1"/>
        <c:lblAlgn val="ctr"/>
        <c:lblOffset val="100"/>
        <c:noMultiLvlLbl val="0"/>
      </c:catAx>
      <c:valAx>
        <c:axId val="22646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646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1'!$C$39:$N$39</c:f>
              <c:numCache>
                <c:formatCode>#,##0.0</c:formatCode>
                <c:ptCount val="12"/>
                <c:pt idx="0">
                  <c:v>566</c:v>
                </c:pt>
                <c:pt idx="1">
                  <c:v>215.33333333333337</c:v>
                </c:pt>
                <c:pt idx="2">
                  <c:v>99.333333333333329</c:v>
                </c:pt>
                <c:pt idx="3">
                  <c:v>347.66666666666669</c:v>
                </c:pt>
                <c:pt idx="4">
                  <c:v>502.66666666666669</c:v>
                </c:pt>
                <c:pt idx="5">
                  <c:v>218.66666666666663</c:v>
                </c:pt>
                <c:pt idx="6">
                  <c:v>184.33333333333331</c:v>
                </c:pt>
                <c:pt idx="7">
                  <c:v>131</c:v>
                </c:pt>
                <c:pt idx="8">
                  <c:v>113.33333333333333</c:v>
                </c:pt>
                <c:pt idx="9">
                  <c:v>457.66666666666663</c:v>
                </c:pt>
                <c:pt idx="10">
                  <c:v>425</c:v>
                </c:pt>
                <c:pt idx="11">
                  <c:v>547.66666666666663</c:v>
                </c:pt>
              </c:numCache>
            </c:numRef>
          </c:val>
        </c:ser>
        <c:ser>
          <c:idx val="1"/>
          <c:order val="1"/>
          <c:tx>
            <c:strRef>
              <c:f>'Small C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1'!$C$40:$N$40</c:f>
              <c:numCache>
                <c:formatCode>#,##0.0</c:formatCode>
                <c:ptCount val="12"/>
                <c:pt idx="0">
                  <c:v>860.33333333333337</c:v>
                </c:pt>
                <c:pt idx="1">
                  <c:v>207.66666666666663</c:v>
                </c:pt>
                <c:pt idx="2">
                  <c:v>155</c:v>
                </c:pt>
                <c:pt idx="3">
                  <c:v>933.66666666666663</c:v>
                </c:pt>
                <c:pt idx="4">
                  <c:v>270</c:v>
                </c:pt>
                <c:pt idx="5">
                  <c:v>321.33333333333331</c:v>
                </c:pt>
                <c:pt idx="6">
                  <c:v>202</c:v>
                </c:pt>
                <c:pt idx="7">
                  <c:v>108</c:v>
                </c:pt>
                <c:pt idx="8">
                  <c:v>149.33333333333337</c:v>
                </c:pt>
                <c:pt idx="9">
                  <c:v>816.66666666666663</c:v>
                </c:pt>
                <c:pt idx="10">
                  <c:v>231.33333333333331</c:v>
                </c:pt>
                <c:pt idx="11">
                  <c:v>300.66666666666669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741248"/>
        <c:axId val="226743040"/>
      </c:barChart>
      <c:catAx>
        <c:axId val="226741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743040"/>
        <c:crosses val="autoZero"/>
        <c:auto val="1"/>
        <c:lblAlgn val="ctr"/>
        <c:lblOffset val="100"/>
        <c:noMultiLvlLbl val="0"/>
      </c:catAx>
      <c:valAx>
        <c:axId val="22674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2674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7:Y60">
  <autoFilter ref="B57:Y60"/>
  <tableColumns count="24">
    <tableColumn id="2" name="Newtonsoft" totalsRowFunction="custom">
      <totalsRowFormula>AverageNumbers[](Serialization[Newtonsoft])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AverageNumbers[](Serialization[Jil])</totalsRowFormula>
    </tableColumn>
    <tableColumn id="9" name="NetJSON"/>
    <tableColumn id="8" name="Jackson"/>
    <tableColumn id="4" name="DSL-JSON" totalsRowFunction="custom">
      <totalsRowFormula>AverageNumbers[](Serialization[DSL-JSON])</totalsRowFormula>
    </tableColumn>
    <tableColumn id="11" name="Kryo (binary reference)"/>
    <tableColumn id="24" name="Boon"/>
    <tableColumn id="23" name="Alibaba"/>
    <tableColumn id="5" name="Gson" totalsRowFunction="custom">
      <totalsRowFormula>AverageNumbers[](Serialization[Gson])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AverageNumbers[](Serialization[Service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B51:M54">
  <autoFilter ref="B51:M54"/>
  <tableColumns count="12">
    <tableColumn id="2" name="Newtonsoft" totalsRowFunction="custom">
      <totalsRowFormula>Table20[](Table17[Newtonsoft])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Table20[](Table17[Jil])</totalsRowFormula>
    </tableColumn>
    <tableColumn id="10" name="NetJSON"/>
    <tableColumn id="15" name="Jackson"/>
    <tableColumn id="6" name="DSL-JSON" totalsRowFunction="custom">
      <totalsRowFormula>Table20[](Table17[DSL-JSON])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1" name="Table21" displayName="Table21" ref="B57:Y60">
  <autoFilter ref="B57:Y60"/>
  <tableColumns count="24">
    <tableColumn id="2" name="Newtonsoft" totalsRowFunction="custom">
      <totalsRowFormula>Table25[](Table21[Newtonsoft])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Table25[](Table21[Jil])</totalsRowFormula>
    </tableColumn>
    <tableColumn id="9" name="NetJSON"/>
    <tableColumn id="8" name="Jackson"/>
    <tableColumn id="4" name="DSL-JSON" totalsRowFunction="custom">
      <totalsRowFormula>Table25[](Table21[DSL-JSON])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Table25[](Table21[Gson])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Table25[](Table21[Service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5" name="Table25" displayName="Table25" ref="B37:N42" totalsRowShown="0">
  <autoFilter ref="B37:N42"/>
  <tableColumns count="13">
    <tableColumn id="1" name="Average"/>
    <tableColumn id="2" name="Newtonsoft" dataDxfId="383">
      <calculatedColumnFormula>Table25[](Table21[Newtonsoft])</calculatedColumnFormula>
    </tableColumn>
    <tableColumn id="3" name="Revenj" dataDxfId="382"/>
    <tableColumn id="11" name="ProtoBuf (binary reference)" dataDxfId="381"/>
    <tableColumn id="4" name="Service Stack" dataDxfId="380"/>
    <tableColumn id="8" name="Jil" dataDxfId="379"/>
    <tableColumn id="7" name="NetJSON" dataDxfId="378"/>
    <tableColumn id="5" name="Jackson afterburner" dataDxfId="377"/>
    <tableColumn id="6" name="DSL-JSON" dataDxfId="376"/>
    <tableColumn id="9" name="Kryo (binary reference)" dataDxfId="375"/>
    <tableColumn id="13" name="Boon" dataDxfId="374"/>
    <tableColumn id="12" name="Alibaba" dataDxfId="373"/>
    <tableColumn id="10" name="Gson" dataDxfId="3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4" name="Table24" displayName="Table24" ref="B46:N48" totalsRowShown="0">
  <autoFilter ref="B46:N48"/>
  <tableColumns count="13">
    <tableColumn id="1" name="Deviation"/>
    <tableColumn id="2" name="Newtonsoft" dataDxfId="371">
      <calculatedColumnFormula>Table25[](Table21[Newtonsoft])</calculatedColumnFormula>
    </tableColumn>
    <tableColumn id="3" name="Revenj" dataDxfId="370"/>
    <tableColumn id="11" name="Protobuf (binary reference)" dataDxfId="369"/>
    <tableColumn id="4" name="Service Stack" dataDxfId="368"/>
    <tableColumn id="5" name="Jil" dataDxfId="367">
      <calculatedColumnFormula>DEVSQ(Table21[Jil])</calculatedColumnFormula>
    </tableColumn>
    <tableColumn id="6" name="NetJSON" dataDxfId="366">
      <calculatedColumnFormula>DEVSQ(Table23[NetJSON])</calculatedColumnFormula>
    </tableColumn>
    <tableColumn id="7" name="Jackson afterburner" dataDxfId="365"/>
    <tableColumn id="8" name="DSL-JSON" dataDxfId="364"/>
    <tableColumn id="9" name="Kryo (binary reference)" dataDxfId="363"/>
    <tableColumn id="13" name="Boon" dataDxfId="362"/>
    <tableColumn id="12" name="Alibaba" dataDxfId="361"/>
    <tableColumn id="10" name="Gson" dataDxfId="3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3" name="Table23" displayName="Table23" ref="B63:M66">
  <autoFilter ref="B63:M66"/>
  <tableColumns count="12">
    <tableColumn id="2" name="Newtonsoft" totalsRowFunction="custom">
      <totalsRowFormula>Table25[](Table23[Newtonsoft])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Table25[](Table23[Jil])</totalsRowFormula>
    </tableColumn>
    <tableColumn id="10" name="NetJSON"/>
    <tableColumn id="15" name="Jackson"/>
    <tableColumn id="6" name="DSL-JSON" totalsRowFunction="custom">
      <totalsRowFormula>Table25[](Table23[DSL-JSON])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2" name="Table22" displayName="Table22" ref="B51:M54">
  <autoFilter ref="B51:M54"/>
  <tableColumns count="12">
    <tableColumn id="2" name="Newtonsoft" totalsRowFunction="custom">
      <totalsRowFormula>Table25[](Table22[Newtonsoft])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Table25[](Table22[Jil])</totalsRowFormula>
    </tableColumn>
    <tableColumn id="10" name="NetJSON"/>
    <tableColumn id="15" name="Jackson"/>
    <tableColumn id="6" name="DSL-JSON" totalsRowFunction="custom">
      <totalsRowFormula>Table25[](Table22[DSL-JSON])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6" name="Table26" displayName="Table26" ref="B57:Y60">
  <autoFilter ref="B57:Y60"/>
  <tableColumns count="24">
    <tableColumn id="2" name="Newtonsoft" totalsRowFunction="custom">
      <totalsRowFormula>Table30[](Table26[Newtonsoft])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Table30[](Table26[Jil])</totalsRowFormula>
    </tableColumn>
    <tableColumn id="9" name="NetJSON"/>
    <tableColumn id="8" name="Jackson"/>
    <tableColumn id="4" name="DSL-JSON" totalsRowFunction="custom">
      <totalsRowFormula>Table30[](Table26[DSL-JSON])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Table30[](Table26[Gson])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Table30[](Table26[Service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0" name="Table30" displayName="Table30" ref="B37:N42" totalsRowShown="0">
  <autoFilter ref="B37:N42"/>
  <tableColumns count="13">
    <tableColumn id="1" name="Average"/>
    <tableColumn id="2" name="Newtonsoft" dataDxfId="359">
      <calculatedColumnFormula>Table30[](Table26[Newtonsoft])</calculatedColumnFormula>
    </tableColumn>
    <tableColumn id="3" name="Revenj" dataDxfId="358"/>
    <tableColumn id="11" name="ProtoBuf (binary reference)" dataDxfId="357"/>
    <tableColumn id="4" name="Service Stack" dataDxfId="356"/>
    <tableColumn id="8" name="Jil" dataDxfId="355"/>
    <tableColumn id="7" name="NetJSON" dataDxfId="354"/>
    <tableColumn id="5" name="Jackson afterburner" dataDxfId="353"/>
    <tableColumn id="6" name="DSL-JSON" dataDxfId="352"/>
    <tableColumn id="9" name="Kryo (binary reference)" dataDxfId="351"/>
    <tableColumn id="13" name="Boon" dataDxfId="350"/>
    <tableColumn id="12" name="Alibaba" dataDxfId="349"/>
    <tableColumn id="10" name="Gson" dataDxfId="34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9" name="Table29" displayName="Table29" ref="B46:N48" totalsRowShown="0">
  <autoFilter ref="B46:N48"/>
  <tableColumns count="13">
    <tableColumn id="1" name="Deviation"/>
    <tableColumn id="2" name="Newtonsoft" dataDxfId="347">
      <calculatedColumnFormula>Table30[](Table26[Newtonsoft])</calculatedColumnFormula>
    </tableColumn>
    <tableColumn id="3" name="Revenj" dataDxfId="346"/>
    <tableColumn id="11" name="Protobuf (binary reference)" dataDxfId="345"/>
    <tableColumn id="4" name="Service Stack" dataDxfId="344"/>
    <tableColumn id="5" name="Jil" dataDxfId="343">
      <calculatedColumnFormula>DEVSQ(Table26[Jil])</calculatedColumnFormula>
    </tableColumn>
    <tableColumn id="6" name="NetJSON" dataDxfId="342">
      <calculatedColumnFormula>DEVSQ(Table28[NetJSON])</calculatedColumnFormula>
    </tableColumn>
    <tableColumn id="7" name="Jackson afterburner" dataDxfId="341"/>
    <tableColumn id="8" name="DSL-JSON" dataDxfId="340"/>
    <tableColumn id="9" name="Kryo (binary reference)" dataDxfId="339"/>
    <tableColumn id="13" name="Boon" dataDxfId="338"/>
    <tableColumn id="12" name="Alibaba" dataDxfId="337"/>
    <tableColumn id="10" name="Gson" dataDxfId="3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8" name="Table28" displayName="Table28" ref="B63:M66">
  <autoFilter ref="B63:M66"/>
  <tableColumns count="12">
    <tableColumn id="2" name="Newtonsoft" totalsRowFunction="custom">
      <totalsRowFormula>Table30[](Table28[Newtonsoft])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Table30[](Table28[Jil])</totalsRowFormula>
    </tableColumn>
    <tableColumn id="10" name="NetJSON"/>
    <tableColumn id="15" name="Jackson"/>
    <tableColumn id="6" name="DSL-JSON" totalsRowFunction="custom">
      <totalsRowFormula>Table30[](Table28[DSL-JSON])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N42" totalsRowShown="0">
  <autoFilter ref="B37:N42"/>
  <tableColumns count="13">
    <tableColumn id="1" name="Average"/>
    <tableColumn id="2" name="Newtonsoft" dataDxfId="431">
      <calculatedColumnFormula>AverageNumbers[](Serialization[Newtonsoft])</calculatedColumnFormula>
    </tableColumn>
    <tableColumn id="3" name="Revenj" dataDxfId="430"/>
    <tableColumn id="11" name="ProtoBuf (binary reference)" dataDxfId="429"/>
    <tableColumn id="4" name="Service Stack" dataDxfId="428"/>
    <tableColumn id="8" name="Jil" dataDxfId="427"/>
    <tableColumn id="7" name="NetJSON" dataDxfId="426"/>
    <tableColumn id="5" name="Jackson afterburner" dataDxfId="425"/>
    <tableColumn id="6" name="DSL-JSON" dataDxfId="424"/>
    <tableColumn id="9" name="Kryo (binary reference)" dataDxfId="423"/>
    <tableColumn id="13" name="Boon" dataDxfId="422"/>
    <tableColumn id="12" name="Alibaba" dataDxfId="421"/>
    <tableColumn id="10" name="Gson" dataDxfId="42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7" name="Table27" displayName="Table27" ref="B51:M54">
  <autoFilter ref="B51:M54"/>
  <tableColumns count="12">
    <tableColumn id="2" name="Newtonsoft" totalsRowFunction="custom">
      <totalsRowFormula>Table30[](Table27[Newtonsoft])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Table30[](Table27[Jil])</totalsRowFormula>
    </tableColumn>
    <tableColumn id="10" name="NetJSON"/>
    <tableColumn id="15" name="Jackson"/>
    <tableColumn id="6" name="DSL-JSON" totalsRowFunction="custom">
      <totalsRowFormula>Table30[](Table27[DSL-JSON])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31" name="Table31" displayName="Table31" ref="B57:Y60">
  <autoFilter ref="B57:Y60"/>
  <tableColumns count="24">
    <tableColumn id="2" name="Newtonsoft" totalsRowFunction="custom">
      <totalsRowFormula>Table35[](Table31[Newtonsoft])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Table35[](Table31[Jil])</totalsRowFormula>
    </tableColumn>
    <tableColumn id="9" name="NetJSON"/>
    <tableColumn id="8" name="Jackson"/>
    <tableColumn id="4" name="DSL-JSON" totalsRowFunction="custom">
      <totalsRowFormula>Table35[](Table31[DSL-JSON])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Table35[](Table31[Gson])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Table35[](Table31[Service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5" name="Table35" displayName="Table35" ref="B37:N42" totalsRowShown="0">
  <autoFilter ref="B37:N42"/>
  <tableColumns count="13">
    <tableColumn id="1" name="Average"/>
    <tableColumn id="2" name="Newtonsoft" dataDxfId="335">
      <calculatedColumnFormula>Table35[](Table31[Newtonsoft])</calculatedColumnFormula>
    </tableColumn>
    <tableColumn id="3" name="Revenj" dataDxfId="334"/>
    <tableColumn id="11" name="ProtoBuf (binary reference)" dataDxfId="333"/>
    <tableColumn id="4" name="Service Stack" dataDxfId="332"/>
    <tableColumn id="8" name="Jil" dataDxfId="331"/>
    <tableColumn id="7" name="NetJSON" dataDxfId="330"/>
    <tableColumn id="5" name="Jackson afterburner" dataDxfId="329"/>
    <tableColumn id="6" name="DSL-JSON" dataDxfId="328"/>
    <tableColumn id="9" name="Kryo (binary reference)" dataDxfId="327"/>
    <tableColumn id="13" name="Boon" dataDxfId="326"/>
    <tableColumn id="12" name="Alibaba" dataDxfId="325"/>
    <tableColumn id="10" name="Gson" dataDxfId="32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34" name="Table34" displayName="Table34" ref="B46:N48" totalsRowShown="0">
  <autoFilter ref="B46:N48"/>
  <tableColumns count="13">
    <tableColumn id="1" name="Deviation"/>
    <tableColumn id="2" name="Newtonsoft" dataDxfId="323">
      <calculatedColumnFormula>Table35[](Table31[Newtonsoft])</calculatedColumnFormula>
    </tableColumn>
    <tableColumn id="3" name="Revenj" dataDxfId="322"/>
    <tableColumn id="11" name="Protobuf (binary reference)" dataDxfId="321"/>
    <tableColumn id="4" name="Service Stack" dataDxfId="320"/>
    <tableColumn id="5" name="Jil" dataDxfId="319">
      <calculatedColumnFormula>DEVSQ(Table31[Jil])</calculatedColumnFormula>
    </tableColumn>
    <tableColumn id="6" name="NetJSON" dataDxfId="318">
      <calculatedColumnFormula>DEVSQ(Table33[NetJSON])</calculatedColumnFormula>
    </tableColumn>
    <tableColumn id="7" name="Jackson afterburner" dataDxfId="317"/>
    <tableColumn id="8" name="DSL-JSON" dataDxfId="316"/>
    <tableColumn id="9" name="Kryo (binary reference)" dataDxfId="315"/>
    <tableColumn id="13" name="Boon" dataDxfId="314"/>
    <tableColumn id="12" name="Alibaba" dataDxfId="313"/>
    <tableColumn id="10" name="Gson" dataDxfId="3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3" name="Table33" displayName="Table33" ref="B63:M66">
  <autoFilter ref="B63:M66"/>
  <tableColumns count="12">
    <tableColumn id="2" name="Newtonsoft" totalsRowFunction="custom">
      <totalsRowFormula>Table35[](Table33[Newtonsoft])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Table35[](Table33[Jil])</totalsRowFormula>
    </tableColumn>
    <tableColumn id="10" name="NetJSON"/>
    <tableColumn id="15" name="Jackson"/>
    <tableColumn id="6" name="DSL-JSON" totalsRowFunction="custom">
      <totalsRowFormula>Table35[](Table33[DSL-JSON])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2" name="Table32" displayName="Table32" ref="B51:M54">
  <autoFilter ref="B51:M54"/>
  <tableColumns count="12">
    <tableColumn id="2" name="Newtonsoft" totalsRowFunction="custom">
      <totalsRowFormula>Table35[](Table32[Newtonsoft])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Table35[](Table32[Jil])</totalsRowFormula>
    </tableColumn>
    <tableColumn id="10" name="NetJSON"/>
    <tableColumn id="15" name="Jackson"/>
    <tableColumn id="6" name="DSL-JSON" totalsRowFunction="custom">
      <totalsRowFormula>Table35[](Table32[DSL-JSON])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6" name="Table36" displayName="Table36" ref="B57:Y60">
  <autoFilter ref="B57:Y60"/>
  <tableColumns count="24">
    <tableColumn id="2" name="Newtonsoft" totalsRowFunction="custom">
      <totalsRowFormula>Table40[](Table36[Newtonsoft])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Table40[](Table36[Jil])</totalsRowFormula>
    </tableColumn>
    <tableColumn id="9" name="NetJSON"/>
    <tableColumn id="8" name="Jackson"/>
    <tableColumn id="4" name="DSL-JSON" totalsRowFunction="custom">
      <totalsRowFormula>Table40[](Table36[DSL-JSON])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Table40[](Table36[Gson])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Table40[](Table36[Service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0" name="Table40" displayName="Table40" ref="B37:N42" totalsRowShown="0">
  <autoFilter ref="B37:N42"/>
  <tableColumns count="13">
    <tableColumn id="1" name="Average"/>
    <tableColumn id="2" name="Newtonsoft" dataDxfId="311">
      <calculatedColumnFormula>Table40[](Table36[Newtonsoft])</calculatedColumnFormula>
    </tableColumn>
    <tableColumn id="3" name="Revenj" dataDxfId="310"/>
    <tableColumn id="11" name="ProtoBuf (binary reference)" dataDxfId="309"/>
    <tableColumn id="4" name="Service Stack" dataDxfId="308"/>
    <tableColumn id="8" name="Jil" dataDxfId="307"/>
    <tableColumn id="7" name="NetJSON" dataDxfId="306"/>
    <tableColumn id="5" name="Jackson afterburner" dataDxfId="305"/>
    <tableColumn id="6" name="DSL-JSON" dataDxfId="304"/>
    <tableColumn id="9" name="Kryo (binary reference)" dataDxfId="303"/>
    <tableColumn id="13" name="Boon" dataDxfId="302"/>
    <tableColumn id="12" name="Alibaba" dataDxfId="301"/>
    <tableColumn id="10" name="Gson" dataDxfId="30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9" name="Table39" displayName="Table39" ref="B46:N48" totalsRowShown="0">
  <autoFilter ref="B46:N48"/>
  <tableColumns count="13">
    <tableColumn id="1" name="Deviation"/>
    <tableColumn id="2" name="Newtonsoft" dataDxfId="299">
      <calculatedColumnFormula>Table40[](Table36[Newtonsoft])</calculatedColumnFormula>
    </tableColumn>
    <tableColumn id="3" name="Revenj" dataDxfId="298"/>
    <tableColumn id="11" name="Protobuf (binary reference)" dataDxfId="297"/>
    <tableColumn id="4" name="Service Stack" dataDxfId="296"/>
    <tableColumn id="5" name="Jil" dataDxfId="295">
      <calculatedColumnFormula>DEVSQ(Table36[Jil])</calculatedColumnFormula>
    </tableColumn>
    <tableColumn id="6" name="NetJSON" dataDxfId="294">
      <calculatedColumnFormula>DEVSQ(Table38[NetJSON])</calculatedColumnFormula>
    </tableColumn>
    <tableColumn id="7" name="Jackson afterburner" dataDxfId="293"/>
    <tableColumn id="8" name="DSL-JSON" dataDxfId="292"/>
    <tableColumn id="9" name="Kryo (binary reference)" dataDxfId="291"/>
    <tableColumn id="13" name="Boon" dataDxfId="290"/>
    <tableColumn id="12" name="Alibaba" dataDxfId="289"/>
    <tableColumn id="10" name="Gson" dataDxfId="28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8" name="Table38" displayName="Table38" ref="B63:M66">
  <autoFilter ref="B63:M66"/>
  <tableColumns count="12">
    <tableColumn id="2" name="Newtonsoft" totalsRowFunction="custom">
      <totalsRowFormula>Table40[](Table38[Newtonsoft])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Table40[](Table38[Jil])</totalsRowFormula>
    </tableColumn>
    <tableColumn id="10" name="NetJSON"/>
    <tableColumn id="15" name="Jackson"/>
    <tableColumn id="6" name="DSL-JSON" totalsRowFunction="custom">
      <totalsRowFormula>Table40[](Table38[DSL-JSON])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6:N48" totalsRowShown="0">
  <autoFilter ref="B46:N48"/>
  <tableColumns count="13">
    <tableColumn id="1" name="Deviation"/>
    <tableColumn id="2" name="Newtonsoft" dataDxfId="419">
      <calculatedColumnFormula>AverageNumbers[](Serialization[Newtonsoft])</calculatedColumnFormula>
    </tableColumn>
    <tableColumn id="3" name="Revenj" dataDxfId="418"/>
    <tableColumn id="11" name="Protobuf (binary reference)" dataDxfId="417"/>
    <tableColumn id="4" name="Service Stack" dataDxfId="416"/>
    <tableColumn id="5" name="Jil" dataDxfId="415">
      <calculatedColumnFormula>DEVSQ(Serialization[Jil])</calculatedColumnFormula>
    </tableColumn>
    <tableColumn id="6" name="NetJSON" dataDxfId="414">
      <calculatedColumnFormula>DEVSQ(Both[NetJSON])</calculatedColumnFormula>
    </tableColumn>
    <tableColumn id="7" name="Jackson afterburner" dataDxfId="413"/>
    <tableColumn id="8" name="DSL-JSON" dataDxfId="412"/>
    <tableColumn id="9" name="Kryo (binary reference)" dataDxfId="411"/>
    <tableColumn id="13" name="Boon" dataDxfId="410"/>
    <tableColumn id="12" name="Alibaba" dataDxfId="409"/>
    <tableColumn id="10" name="Gson" dataDxfId="40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7" name="Table37" displayName="Table37" ref="B51:M54">
  <autoFilter ref="B51:M54"/>
  <tableColumns count="12">
    <tableColumn id="2" name="Newtonsoft" totalsRowFunction="custom">
      <totalsRowFormula>Table40[](Table37[Newtonsoft])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Table40[](Table37[Jil])</totalsRowFormula>
    </tableColumn>
    <tableColumn id="10" name="NetJSON"/>
    <tableColumn id="15" name="Jackson"/>
    <tableColumn id="6" name="DSL-JSON" totalsRowFunction="custom">
      <totalsRowFormula>Table40[](Table37[DSL-JSON])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41" name="Table41" displayName="Table41" ref="B57:Y60">
  <autoFilter ref="B57:Y60"/>
  <tableColumns count="24">
    <tableColumn id="2" name="Newtonsoft" totalsRowFunction="custom">
      <totalsRowFormula>Table45[](Table41[Newtonsoft])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Table45[](Table41[Jil])</totalsRowFormula>
    </tableColumn>
    <tableColumn id="9" name="NetJSON"/>
    <tableColumn id="8" name="Jackson"/>
    <tableColumn id="4" name="DSL-JSON" totalsRowFunction="custom">
      <totalsRowFormula>Table45[](Table41[DSL-JSON])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Table45[](Table41[Gson])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Table45[](Table41[Service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45" name="Table45" displayName="Table45" ref="B37:N42" totalsRowShown="0">
  <autoFilter ref="B37:N42"/>
  <tableColumns count="13">
    <tableColumn id="1" name="Average"/>
    <tableColumn id="2" name="Newtonsoft" dataDxfId="287">
      <calculatedColumnFormula>Table45[](Table41[Newtonsoft])</calculatedColumnFormula>
    </tableColumn>
    <tableColumn id="3" name="Revenj" dataDxfId="286"/>
    <tableColumn id="11" name="ProtoBuf (binary reference)" dataDxfId="285"/>
    <tableColumn id="4" name="Service Stack" dataDxfId="284"/>
    <tableColumn id="8" name="Jil" dataDxfId="283"/>
    <tableColumn id="7" name="NetJSON" dataDxfId="282"/>
    <tableColumn id="5" name="Jackson afterburner" dataDxfId="281"/>
    <tableColumn id="6" name="DSL-JSON" dataDxfId="280"/>
    <tableColumn id="9" name="Kryo (binary reference)" dataDxfId="279"/>
    <tableColumn id="13" name="Boon" dataDxfId="278"/>
    <tableColumn id="12" name="Alibaba" dataDxfId="277"/>
    <tableColumn id="10" name="Gson" dataDxfId="27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44" name="Table44" displayName="Table44" ref="B46:N48" totalsRowShown="0">
  <autoFilter ref="B46:N48"/>
  <tableColumns count="13">
    <tableColumn id="1" name="Deviation"/>
    <tableColumn id="2" name="Newtonsoft" dataDxfId="275">
      <calculatedColumnFormula>Table45[](Table41[Newtonsoft])</calculatedColumnFormula>
    </tableColumn>
    <tableColumn id="3" name="Revenj" dataDxfId="274"/>
    <tableColumn id="11" name="Protobuf (binary reference)" dataDxfId="273"/>
    <tableColumn id="4" name="Service Stack" dataDxfId="272"/>
    <tableColumn id="5" name="Jil" dataDxfId="271">
      <calculatedColumnFormula>DEVSQ(Table41[Jil])</calculatedColumnFormula>
    </tableColumn>
    <tableColumn id="6" name="NetJSON" dataDxfId="270">
      <calculatedColumnFormula>DEVSQ(Table43[NetJSON])</calculatedColumnFormula>
    </tableColumn>
    <tableColumn id="7" name="Jackson afterburner" dataDxfId="269"/>
    <tableColumn id="8" name="DSL-JSON" dataDxfId="268"/>
    <tableColumn id="9" name="Kryo (binary reference)" dataDxfId="267"/>
    <tableColumn id="13" name="Boon" dataDxfId="266"/>
    <tableColumn id="12" name="Alibaba" dataDxfId="265"/>
    <tableColumn id="10" name="Gson" dataDxfId="26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43" name="Table43" displayName="Table43" ref="B63:M66">
  <autoFilter ref="B63:M66"/>
  <tableColumns count="12">
    <tableColumn id="2" name="Newtonsoft" totalsRowFunction="custom">
      <totalsRowFormula>Table45[](Table43[Newtonsoft])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Table45[](Table43[Jil])</totalsRowFormula>
    </tableColumn>
    <tableColumn id="10" name="NetJSON"/>
    <tableColumn id="15" name="Jackson"/>
    <tableColumn id="6" name="DSL-JSON" totalsRowFunction="custom">
      <totalsRowFormula>Table45[](Table43[DSL-JSON])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2" name="Table42" displayName="Table42" ref="B51:M54">
  <autoFilter ref="B51:M54"/>
  <tableColumns count="12">
    <tableColumn id="2" name="Newtonsoft" totalsRowFunction="custom">
      <totalsRowFormula>Table45[](Table42[Newtonsoft])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Table45[](Table42[Jil])</totalsRowFormula>
    </tableColumn>
    <tableColumn id="10" name="NetJSON"/>
    <tableColumn id="15" name="Jackson"/>
    <tableColumn id="6" name="DSL-JSON" totalsRowFunction="custom">
      <totalsRowFormula>Table45[](Table42[DSL-JSON])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6" name="Table46" displayName="Table46" ref="B57:Y60">
  <autoFilter ref="B57:Y60"/>
  <tableColumns count="24">
    <tableColumn id="2" name="Newtonsoft" totalsRowFunction="custom">
      <totalsRowFormula>Table50[](Table46[Newtonsoft])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Table50[](Table46[Jil])</totalsRowFormula>
    </tableColumn>
    <tableColumn id="9" name="NetJSON"/>
    <tableColumn id="8" name="Jackson"/>
    <tableColumn id="4" name="DSL-JSON" totalsRowFunction="custom">
      <totalsRowFormula>Table50[](Table46[DSL-JSON])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Table50[](Table46[Gson])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Table50[](Table46[Service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50" name="Table50" displayName="Table50" ref="B37:N42" totalsRowShown="0">
  <autoFilter ref="B37:N42"/>
  <tableColumns count="13">
    <tableColumn id="1" name="Average"/>
    <tableColumn id="2" name="Newtonsoft" dataDxfId="263">
      <calculatedColumnFormula>Table50[](Table46[Newtonsoft])</calculatedColumnFormula>
    </tableColumn>
    <tableColumn id="3" name="Revenj" dataDxfId="262"/>
    <tableColumn id="11" name="ProtoBuf (binary reference)" dataDxfId="261"/>
    <tableColumn id="4" name="Service Stack" dataDxfId="260"/>
    <tableColumn id="8" name="Jil" dataDxfId="259"/>
    <tableColumn id="7" name="NetJSON" dataDxfId="258"/>
    <tableColumn id="5" name="Jackson afterburner" dataDxfId="257"/>
    <tableColumn id="6" name="DSL-JSON" dataDxfId="256"/>
    <tableColumn id="9" name="Kryo (binary reference)" dataDxfId="255"/>
    <tableColumn id="13" name="Boon" dataDxfId="254"/>
    <tableColumn id="12" name="Alibaba" dataDxfId="253"/>
    <tableColumn id="10" name="Gson" dataDxfId="25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9" name="Table49" displayName="Table49" ref="B46:N48" totalsRowShown="0">
  <autoFilter ref="B46:N48"/>
  <tableColumns count="13">
    <tableColumn id="1" name="Deviation"/>
    <tableColumn id="2" name="Newtonsoft" dataDxfId="251">
      <calculatedColumnFormula>Table50[](Table46[Newtonsoft])</calculatedColumnFormula>
    </tableColumn>
    <tableColumn id="3" name="Revenj" dataDxfId="250"/>
    <tableColumn id="11" name="Protobuf (binary reference)" dataDxfId="249"/>
    <tableColumn id="4" name="Service Stack" dataDxfId="248"/>
    <tableColumn id="5" name="Jil" dataDxfId="247">
      <calculatedColumnFormula>DEVSQ(Table46[Jil])</calculatedColumnFormula>
    </tableColumn>
    <tableColumn id="6" name="NetJSON" dataDxfId="246">
      <calculatedColumnFormula>DEVSQ(Table48[NetJSON])</calculatedColumnFormula>
    </tableColumn>
    <tableColumn id="7" name="Jackson afterburner" dataDxfId="245"/>
    <tableColumn id="8" name="DSL-JSON" dataDxfId="244"/>
    <tableColumn id="9" name="Kryo (binary reference)" dataDxfId="243"/>
    <tableColumn id="13" name="Boon" dataDxfId="242"/>
    <tableColumn id="12" name="Alibaba" dataDxfId="241"/>
    <tableColumn id="10" name="Gson" dataDxfId="24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8" name="Table48" displayName="Table48" ref="B63:M66">
  <autoFilter ref="B63:M66"/>
  <tableColumns count="12">
    <tableColumn id="2" name="Newtonsoft" totalsRowFunction="custom">
      <totalsRowFormula>Table50[](Table48[Newtonsoft])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Table50[](Table48[Jil])</totalsRowFormula>
    </tableColumn>
    <tableColumn id="10" name="NetJSON"/>
    <tableColumn id="15" name="Jackson"/>
    <tableColumn id="6" name="DSL-JSON" totalsRowFunction="custom">
      <totalsRowFormula>Table50[](Table48[DSL-JSON])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63:M66">
  <autoFilter ref="B63:M66"/>
  <tableColumns count="12">
    <tableColumn id="2" name="Newtonsoft" totalsRowFunction="custom">
      <totalsRowFormula>AverageNumbers[](Both[Newtonsoft])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AverageNumbers[](Both[Jil])</totalsRowFormula>
    </tableColumn>
    <tableColumn id="10" name="NetJSON"/>
    <tableColumn id="15" name="Jackson"/>
    <tableColumn id="6" name="DSL-JSON" totalsRowFunction="custom">
      <totalsRowFormula>AverageNumbers[](Both[DSL-JSON])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7" name="Table47" displayName="Table47" ref="B51:M54">
  <autoFilter ref="B51:M54"/>
  <tableColumns count="12">
    <tableColumn id="2" name="Newtonsoft" totalsRowFunction="custom">
      <totalsRowFormula>Table50[](Table47[Newtonsoft])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Table50[](Table47[Jil])</totalsRowFormula>
    </tableColumn>
    <tableColumn id="10" name="NetJSON"/>
    <tableColumn id="15" name="Jackson"/>
    <tableColumn id="6" name="DSL-JSON" totalsRowFunction="custom">
      <totalsRowFormula>Table50[](Table47[DSL-JSON])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51" name="Table51" displayName="Table51" ref="B57:Y60">
  <autoFilter ref="B57:Y60"/>
  <tableColumns count="24">
    <tableColumn id="2" name="Newtonsoft" totalsRowFunction="custom">
      <totalsRowFormula>Table55[](Table51[Newtonsoft])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Table55[](Table51[Jil])</totalsRowFormula>
    </tableColumn>
    <tableColumn id="9" name="NetJSON"/>
    <tableColumn id="8" name="Jackson"/>
    <tableColumn id="4" name="DSL-JSON" totalsRowFunction="custom">
      <totalsRowFormula>Table55[](Table51[DSL-JSON])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Table55[](Table51[Gson])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Table55[](Table51[Service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55" name="Table55" displayName="Table55" ref="B37:N42" totalsRowShown="0">
  <autoFilter ref="B37:N42"/>
  <tableColumns count="13">
    <tableColumn id="1" name="Average"/>
    <tableColumn id="2" name="Newtonsoft" dataDxfId="239">
      <calculatedColumnFormula>Table55[](Table51[Newtonsoft])</calculatedColumnFormula>
    </tableColumn>
    <tableColumn id="3" name="Revenj" dataDxfId="238"/>
    <tableColumn id="11" name="ProtoBuf (binary reference)" dataDxfId="237"/>
    <tableColumn id="4" name="Service Stack" dataDxfId="236"/>
    <tableColumn id="8" name="Jil" dataDxfId="235"/>
    <tableColumn id="7" name="NetJSON" dataDxfId="234"/>
    <tableColumn id="5" name="Jackson afterburner" dataDxfId="233"/>
    <tableColumn id="6" name="DSL-JSON" dataDxfId="232"/>
    <tableColumn id="9" name="Kryo (binary reference)" dataDxfId="231"/>
    <tableColumn id="13" name="Boon" dataDxfId="230"/>
    <tableColumn id="12" name="Alibaba" dataDxfId="229"/>
    <tableColumn id="10" name="Gson" dataDxfId="22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54" name="Table54" displayName="Table54" ref="B46:N48" totalsRowShown="0">
  <autoFilter ref="B46:N48"/>
  <tableColumns count="13">
    <tableColumn id="1" name="Deviation"/>
    <tableColumn id="2" name="Newtonsoft" dataDxfId="227">
      <calculatedColumnFormula>Table55[](Table51[Newtonsoft])</calculatedColumnFormula>
    </tableColumn>
    <tableColumn id="3" name="Revenj" dataDxfId="226"/>
    <tableColumn id="11" name="Protobuf (binary reference)" dataDxfId="225"/>
    <tableColumn id="4" name="Service Stack" dataDxfId="224"/>
    <tableColumn id="5" name="Jil" dataDxfId="223">
      <calculatedColumnFormula>DEVSQ(Table51[Jil])</calculatedColumnFormula>
    </tableColumn>
    <tableColumn id="6" name="NetJSON" dataDxfId="222">
      <calculatedColumnFormula>DEVSQ(Table53[NetJSON])</calculatedColumnFormula>
    </tableColumn>
    <tableColumn id="7" name="Jackson afterburner" dataDxfId="221"/>
    <tableColumn id="8" name="DSL-JSON" dataDxfId="220"/>
    <tableColumn id="9" name="Kryo (binary reference)" dataDxfId="219"/>
    <tableColumn id="13" name="Boon" dataDxfId="218"/>
    <tableColumn id="12" name="Alibaba" dataDxfId="217"/>
    <tableColumn id="10" name="Gson" dataDxfId="216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53" name="Table53" displayName="Table53" ref="B63:M66">
  <autoFilter ref="B63:M66"/>
  <tableColumns count="12">
    <tableColumn id="2" name="Newtonsoft" totalsRowFunction="custom">
      <totalsRowFormula>Table55[](Table53[Newtonsoft])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Table55[](Table53[Jil])</totalsRowFormula>
    </tableColumn>
    <tableColumn id="10" name="NetJSON"/>
    <tableColumn id="15" name="Jackson"/>
    <tableColumn id="6" name="DSL-JSON" totalsRowFunction="custom">
      <totalsRowFormula>Table55[](Table53[DSL-JSON])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2" name="Table52" displayName="Table52" ref="B51:M54">
  <autoFilter ref="B51:M54"/>
  <tableColumns count="12">
    <tableColumn id="2" name="Newtonsoft" totalsRowFunction="custom">
      <totalsRowFormula>Table55[](Table52[Newtonsoft])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Table55[](Table52[Jil])</totalsRowFormula>
    </tableColumn>
    <tableColumn id="10" name="NetJSON"/>
    <tableColumn id="15" name="Jackson"/>
    <tableColumn id="6" name="DSL-JSON" totalsRowFunction="custom">
      <totalsRowFormula>Table55[](Table52[DSL-JSON])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6" name="Table56" displayName="Table56" ref="B57:Y60">
  <autoFilter ref="B57:Y60"/>
  <tableColumns count="24">
    <tableColumn id="2" name="Newtonsoft" totalsRowFunction="custom">
      <totalsRowFormula>Table60[](Table56[Newtonsoft])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Table60[](Table56[Jil])</totalsRowFormula>
    </tableColumn>
    <tableColumn id="9" name="NetJSON"/>
    <tableColumn id="8" name="Jackson"/>
    <tableColumn id="4" name="DSL-JSON" totalsRowFunction="custom">
      <totalsRowFormula>Table60[](Table56[DSL-JSON])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Table60[](Table56[Gson])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Table60[](Table56[Service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60" name="Table60" displayName="Table60" ref="B37:N42" totalsRowShown="0">
  <autoFilter ref="B37:N42"/>
  <tableColumns count="13">
    <tableColumn id="1" name="Average"/>
    <tableColumn id="2" name="Newtonsoft" dataDxfId="215">
      <calculatedColumnFormula>Table60[](Table56[Newtonsoft])</calculatedColumnFormula>
    </tableColumn>
    <tableColumn id="3" name="Revenj" dataDxfId="214"/>
    <tableColumn id="11" name="ProtoBuf (binary reference)" dataDxfId="213"/>
    <tableColumn id="4" name="Service Stack" dataDxfId="212"/>
    <tableColumn id="8" name="Jil" dataDxfId="211"/>
    <tableColumn id="7" name="NetJSON" dataDxfId="210"/>
    <tableColumn id="5" name="Jackson afterburner" dataDxfId="209"/>
    <tableColumn id="6" name="DSL-JSON" dataDxfId="208"/>
    <tableColumn id="9" name="Kryo (binary reference)" dataDxfId="207"/>
    <tableColumn id="13" name="Boon" dataDxfId="206"/>
    <tableColumn id="12" name="Alibaba" dataDxfId="205"/>
    <tableColumn id="10" name="Gson" dataDxfId="204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9" name="Table59" displayName="Table59" ref="B46:N48" totalsRowShown="0">
  <autoFilter ref="B46:N48"/>
  <tableColumns count="13">
    <tableColumn id="1" name="Deviation"/>
    <tableColumn id="2" name="Newtonsoft" dataDxfId="203">
      <calculatedColumnFormula>Table60[](Table56[Newtonsoft])</calculatedColumnFormula>
    </tableColumn>
    <tableColumn id="3" name="Revenj" dataDxfId="202"/>
    <tableColumn id="11" name="Protobuf (binary reference)" dataDxfId="201"/>
    <tableColumn id="4" name="Service Stack" dataDxfId="200"/>
    <tableColumn id="5" name="Jil" dataDxfId="199">
      <calculatedColumnFormula>DEVSQ(Table56[Jil])</calculatedColumnFormula>
    </tableColumn>
    <tableColumn id="6" name="NetJSON" dataDxfId="198">
      <calculatedColumnFormula>DEVSQ(Table58[NetJSON])</calculatedColumnFormula>
    </tableColumn>
    <tableColumn id="7" name="Jackson afterburner" dataDxfId="197"/>
    <tableColumn id="8" name="DSL-JSON" dataDxfId="196"/>
    <tableColumn id="9" name="Kryo (binary reference)" dataDxfId="195"/>
    <tableColumn id="13" name="Boon" dataDxfId="194"/>
    <tableColumn id="12" name="Alibaba" dataDxfId="193"/>
    <tableColumn id="10" name="Gson" dataDxfId="19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58" name="Table58" displayName="Table58" ref="B63:M66">
  <autoFilter ref="B63:M66"/>
  <tableColumns count="12">
    <tableColumn id="2" name="Newtonsoft" totalsRowFunction="custom">
      <totalsRowFormula>Table60[](Table58[Newtonsoft])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Table60[](Table58[Jil])</totalsRowFormula>
    </tableColumn>
    <tableColumn id="10" name="NetJSON"/>
    <tableColumn id="15" name="Jackson"/>
    <tableColumn id="6" name="DSL-JSON" totalsRowFunction="custom">
      <totalsRowFormula>Table60[](Table58[DSL-JSON])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Instance" displayName="Instance" ref="B51:M54">
  <autoFilter ref="B51:M54"/>
  <tableColumns count="12">
    <tableColumn id="2" name="Newtonsoft" totalsRowFunction="custom">
      <totalsRowFormula>AverageNumbers[](Instance[Newtonsoft])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AverageNumbers[](Instance[Jil])</totalsRowFormula>
    </tableColumn>
    <tableColumn id="10" name="NetJSON"/>
    <tableColumn id="15" name="Jackson"/>
    <tableColumn id="6" name="DSL-JSON" totalsRowFunction="custom">
      <totalsRowFormula>AverageNumbers[](Instance[DSL-JSON])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7" name="Table57" displayName="Table57" ref="B51:M54">
  <autoFilter ref="B51:M54"/>
  <tableColumns count="12">
    <tableColumn id="2" name="Newtonsoft" totalsRowFunction="custom">
      <totalsRowFormula>Table60[](Table57[Newtonsoft])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Table60[](Table57[Jil])</totalsRowFormula>
    </tableColumn>
    <tableColumn id="10" name="NetJSON"/>
    <tableColumn id="15" name="Jackson"/>
    <tableColumn id="6" name="DSL-JSON" totalsRowFunction="custom">
      <totalsRowFormula>Table60[](Table57[DSL-JSON])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61" name="Table61" displayName="Table61" ref="B57:Y60">
  <autoFilter ref="B57:Y60"/>
  <tableColumns count="24">
    <tableColumn id="2" name="Newtonsoft" totalsRowFunction="custom">
      <totalsRowFormula>Table65[](Table61[Newtonsoft])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Table65[](Table61[Jil])</totalsRowFormula>
    </tableColumn>
    <tableColumn id="9" name="NetJSON"/>
    <tableColumn id="8" name="Jackson"/>
    <tableColumn id="4" name="DSL-JSON" totalsRowFunction="custom">
      <totalsRowFormula>Table65[](Table61[DSL-JSON])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Table65[](Table61[Gson])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Table65[](Table61[Service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65" name="Table65" displayName="Table65" ref="B37:N42" totalsRowShown="0">
  <autoFilter ref="B37:N42"/>
  <tableColumns count="13">
    <tableColumn id="1" name="Average"/>
    <tableColumn id="2" name="Newtonsoft" dataDxfId="191">
      <calculatedColumnFormula>Table65[](Table61[Newtonsoft])</calculatedColumnFormula>
    </tableColumn>
    <tableColumn id="3" name="Revenj" dataDxfId="190"/>
    <tableColumn id="11" name="ProtoBuf (binary reference)" dataDxfId="189"/>
    <tableColumn id="4" name="Service Stack" dataDxfId="188"/>
    <tableColumn id="8" name="Jil" dataDxfId="187"/>
    <tableColumn id="7" name="NetJSON" dataDxfId="186"/>
    <tableColumn id="5" name="Jackson afterburner" dataDxfId="185"/>
    <tableColumn id="6" name="DSL-JSON" dataDxfId="184"/>
    <tableColumn id="9" name="Kryo (binary reference)" dataDxfId="183"/>
    <tableColumn id="13" name="Boon" dataDxfId="182"/>
    <tableColumn id="12" name="Alibaba" dataDxfId="181"/>
    <tableColumn id="10" name="Gson" dataDxfId="180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64" name="Table64" displayName="Table64" ref="B46:N48" totalsRowShown="0">
  <autoFilter ref="B46:N48"/>
  <tableColumns count="13">
    <tableColumn id="1" name="Deviation"/>
    <tableColumn id="2" name="Newtonsoft" dataDxfId="179">
      <calculatedColumnFormula>Table65[](Table61[Newtonsoft])</calculatedColumnFormula>
    </tableColumn>
    <tableColumn id="3" name="Revenj" dataDxfId="178"/>
    <tableColumn id="11" name="Protobuf (binary reference)" dataDxfId="177"/>
    <tableColumn id="4" name="Service Stack" dataDxfId="176"/>
    <tableColumn id="5" name="Jil" dataDxfId="175">
      <calculatedColumnFormula>DEVSQ(Table61[Jil])</calculatedColumnFormula>
    </tableColumn>
    <tableColumn id="6" name="NetJSON" dataDxfId="174">
      <calculatedColumnFormula>DEVSQ(Table63[NetJSON])</calculatedColumnFormula>
    </tableColumn>
    <tableColumn id="7" name="Jackson afterburner" dataDxfId="173"/>
    <tableColumn id="8" name="DSL-JSON" dataDxfId="172"/>
    <tableColumn id="9" name="Kryo (binary reference)" dataDxfId="171"/>
    <tableColumn id="13" name="Boon" dataDxfId="170"/>
    <tableColumn id="12" name="Alibaba" dataDxfId="169"/>
    <tableColumn id="10" name="Gson" dataDxfId="168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63" name="Table63" displayName="Table63" ref="B63:M66">
  <autoFilter ref="B63:M66"/>
  <tableColumns count="12">
    <tableColumn id="2" name="Newtonsoft" totalsRowFunction="custom">
      <totalsRowFormula>Table65[](Table63[Newtonsoft])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Table65[](Table63[Jil])</totalsRowFormula>
    </tableColumn>
    <tableColumn id="10" name="NetJSON"/>
    <tableColumn id="15" name="Jackson"/>
    <tableColumn id="6" name="DSL-JSON" totalsRowFunction="custom">
      <totalsRowFormula>Table65[](Table63[DSL-JSON])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62" name="Table62" displayName="Table62" ref="B51:M54">
  <autoFilter ref="B51:M54"/>
  <tableColumns count="12">
    <tableColumn id="2" name="Newtonsoft" totalsRowFunction="custom">
      <totalsRowFormula>Table65[](Table62[Newtonsoft])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Table65[](Table62[Jil])</totalsRowFormula>
    </tableColumn>
    <tableColumn id="10" name="NetJSON"/>
    <tableColumn id="15" name="Jackson"/>
    <tableColumn id="6" name="DSL-JSON" totalsRowFunction="custom">
      <totalsRowFormula>Table65[](Table62[DSL-JSON])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66" name="Table66" displayName="Table66" ref="B57:Y60">
  <autoFilter ref="B57:Y60"/>
  <tableColumns count="24">
    <tableColumn id="2" name="Newtonsoft" totalsRowFunction="custom">
      <totalsRowFormula>Table70[](Table66[Newtonsoft])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Table70[](Table66[Jil])</totalsRowFormula>
    </tableColumn>
    <tableColumn id="9" name="NetJSON"/>
    <tableColumn id="8" name="Jackson"/>
    <tableColumn id="4" name="DSL-JSON" totalsRowFunction="custom">
      <totalsRowFormula>Table70[](Table66[DSL-JSON])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Table70[](Table66[Gson])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Table70[](Table66[Service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70" name="Table70" displayName="Table70" ref="B37:N42" totalsRowShown="0">
  <autoFilter ref="B37:N42"/>
  <tableColumns count="13">
    <tableColumn id="1" name="Average"/>
    <tableColumn id="2" name="Newtonsoft" dataDxfId="167">
      <calculatedColumnFormula>Table70[](Table66[Newtonsoft])</calculatedColumnFormula>
    </tableColumn>
    <tableColumn id="3" name="Revenj" dataDxfId="166"/>
    <tableColumn id="11" name="ProtoBuf (binary reference)" dataDxfId="165"/>
    <tableColumn id="4" name="Service Stack" dataDxfId="164"/>
    <tableColumn id="8" name="Jil" dataDxfId="163"/>
    <tableColumn id="7" name="NetJSON" dataDxfId="162"/>
    <tableColumn id="5" name="Jackson afterburner" dataDxfId="161"/>
    <tableColumn id="6" name="DSL-JSON" dataDxfId="160"/>
    <tableColumn id="9" name="Kryo (binary reference)" dataDxfId="159"/>
    <tableColumn id="13" name="Boon" dataDxfId="158"/>
    <tableColumn id="12" name="Alibaba" dataDxfId="157"/>
    <tableColumn id="10" name="Gson" dataDxfId="156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69" name="Table69" displayName="Table69" ref="B46:N48" totalsRowShown="0">
  <autoFilter ref="B46:N48"/>
  <tableColumns count="13">
    <tableColumn id="1" name="Deviation"/>
    <tableColumn id="2" name="Newtonsoft" dataDxfId="155">
      <calculatedColumnFormula>Table70[](Table66[Newtonsoft])</calculatedColumnFormula>
    </tableColumn>
    <tableColumn id="3" name="Revenj" dataDxfId="154"/>
    <tableColumn id="11" name="Protobuf (binary reference)" dataDxfId="153"/>
    <tableColumn id="4" name="Service Stack" dataDxfId="152"/>
    <tableColumn id="5" name="Jil" dataDxfId="151">
      <calculatedColumnFormula>DEVSQ(Table66[Jil])</calculatedColumnFormula>
    </tableColumn>
    <tableColumn id="6" name="NetJSON" dataDxfId="150">
      <calculatedColumnFormula>DEVSQ(Table68[NetJSON])</calculatedColumnFormula>
    </tableColumn>
    <tableColumn id="7" name="Jackson afterburner" dataDxfId="149"/>
    <tableColumn id="8" name="DSL-JSON" dataDxfId="148"/>
    <tableColumn id="9" name="Kryo (binary reference)" dataDxfId="147"/>
    <tableColumn id="13" name="Boon" dataDxfId="146"/>
    <tableColumn id="12" name="Alibaba" dataDxfId="145"/>
    <tableColumn id="10" name="Gson" dataDxfId="14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68" name="Table68" displayName="Table68" ref="B63:M66">
  <autoFilter ref="B63:M66"/>
  <tableColumns count="12">
    <tableColumn id="2" name="Newtonsoft" totalsRowFunction="custom">
      <totalsRowFormula>Table70[](Table68[Newtonsoft])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Table70[](Table68[Jil])</totalsRowFormula>
    </tableColumn>
    <tableColumn id="10" name="NetJSON"/>
    <tableColumn id="15" name="Jackson"/>
    <tableColumn id="6" name="DSL-JSON" totalsRowFunction="custom">
      <totalsRowFormula>Table70[](Table68[DSL-JSON])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Table16" displayName="Table16" ref="B57:Y60">
  <autoFilter ref="B57:Y60"/>
  <tableColumns count="24">
    <tableColumn id="2" name="Newtonsoft" totalsRowFunction="custom">
      <totalsRowFormula>Table20[](Table16[Newtonsoft])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Table20[](Table16[Jil])</totalsRowFormula>
    </tableColumn>
    <tableColumn id="9" name="NetJSON"/>
    <tableColumn id="8" name="Jackson"/>
    <tableColumn id="4" name="DSL-JSON" totalsRowFunction="custom">
      <totalsRowFormula>Table20[](Table16[DSL-JSON])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Table20[](Table16[Gson])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Table20[](Table16[Service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7" name="Table67" displayName="Table67" ref="B51:M54">
  <autoFilter ref="B51:M54"/>
  <tableColumns count="12">
    <tableColumn id="2" name="Newtonsoft" totalsRowFunction="custom">
      <totalsRowFormula>Table70[](Table67[Newtonsoft])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Table70[](Table67[Jil])</totalsRowFormula>
    </tableColumn>
    <tableColumn id="10" name="NetJSON"/>
    <tableColumn id="15" name="Jackson"/>
    <tableColumn id="6" name="DSL-JSON" totalsRowFunction="custom">
      <totalsRowFormula>Table70[](Table67[DSL-JSON])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71" name="Table71" displayName="Table71" ref="B57:Y60">
  <autoFilter ref="B57:Y60"/>
  <tableColumns count="24">
    <tableColumn id="2" name="Newtonsoft" totalsRowFunction="custom">
      <totalsRowFormula>Table75[](Table71[Newtonsoft])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Table75[](Table71[Jil])</totalsRowFormula>
    </tableColumn>
    <tableColumn id="9" name="NetJSON"/>
    <tableColumn id="8" name="Jackson"/>
    <tableColumn id="4" name="DSL-JSON" totalsRowFunction="custom">
      <totalsRowFormula>Table75[](Table71[DSL-JSON])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Table75[](Table71[Gson])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Table75[](Table71[Service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75" name="Table75" displayName="Table75" ref="B37:N42" totalsRowShown="0">
  <autoFilter ref="B37:N42"/>
  <tableColumns count="13">
    <tableColumn id="1" name="Average"/>
    <tableColumn id="2" name="Newtonsoft" dataDxfId="143">
      <calculatedColumnFormula>Table75[](Table71[Newtonsoft])</calculatedColumnFormula>
    </tableColumn>
    <tableColumn id="3" name="Revenj" dataDxfId="142"/>
    <tableColumn id="11" name="ProtoBuf (binary reference)" dataDxfId="141"/>
    <tableColumn id="4" name="Service Stack" dataDxfId="140"/>
    <tableColumn id="8" name="Jil" dataDxfId="139"/>
    <tableColumn id="7" name="NetJSON" dataDxfId="138"/>
    <tableColumn id="5" name="Jackson afterburner" dataDxfId="137"/>
    <tableColumn id="6" name="DSL-JSON" dataDxfId="136"/>
    <tableColumn id="9" name="Kryo (binary reference)" dataDxfId="135"/>
    <tableColumn id="13" name="Boon" dataDxfId="134"/>
    <tableColumn id="12" name="Alibaba" dataDxfId="133"/>
    <tableColumn id="10" name="Gson" dataDxfId="132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74" name="Table74" displayName="Table74" ref="B46:N48" totalsRowShown="0">
  <autoFilter ref="B46:N48"/>
  <tableColumns count="13">
    <tableColumn id="1" name="Deviation"/>
    <tableColumn id="2" name="Newtonsoft" dataDxfId="131">
      <calculatedColumnFormula>Table75[](Table71[Newtonsoft])</calculatedColumnFormula>
    </tableColumn>
    <tableColumn id="3" name="Revenj" dataDxfId="130"/>
    <tableColumn id="11" name="Protobuf (binary reference)" dataDxfId="129"/>
    <tableColumn id="4" name="Service Stack" dataDxfId="128"/>
    <tableColumn id="5" name="Jil" dataDxfId="127">
      <calculatedColumnFormula>DEVSQ(Table71[Jil])</calculatedColumnFormula>
    </tableColumn>
    <tableColumn id="6" name="NetJSON" dataDxfId="126">
      <calculatedColumnFormula>DEVSQ(Table73[NetJSON])</calculatedColumnFormula>
    </tableColumn>
    <tableColumn id="7" name="Jackson afterburner" dataDxfId="125"/>
    <tableColumn id="8" name="DSL-JSON" dataDxfId="124"/>
    <tableColumn id="9" name="Kryo (binary reference)" dataDxfId="123"/>
    <tableColumn id="13" name="Boon" dataDxfId="122"/>
    <tableColumn id="12" name="Alibaba" dataDxfId="121"/>
    <tableColumn id="10" name="Gson" dataDxfId="12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73" name="Table73" displayName="Table73" ref="B63:M66">
  <autoFilter ref="B63:M66"/>
  <tableColumns count="12">
    <tableColumn id="2" name="Newtonsoft" totalsRowFunction="custom">
      <totalsRowFormula>Table75[](Table73[Newtonsoft])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Table75[](Table73[Jil])</totalsRowFormula>
    </tableColumn>
    <tableColumn id="10" name="NetJSON"/>
    <tableColumn id="15" name="Jackson"/>
    <tableColumn id="6" name="DSL-JSON" totalsRowFunction="custom">
      <totalsRowFormula>Table75[](Table73[DSL-JSON])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72" name="Table72" displayName="Table72" ref="B51:M54">
  <autoFilter ref="B51:M54"/>
  <tableColumns count="12">
    <tableColumn id="2" name="Newtonsoft" totalsRowFunction="custom">
      <totalsRowFormula>Table75[](Table72[Newtonsoft])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Table75[](Table72[Jil])</totalsRowFormula>
    </tableColumn>
    <tableColumn id="10" name="NetJSON"/>
    <tableColumn id="15" name="Jackson"/>
    <tableColumn id="6" name="DSL-JSON" totalsRowFunction="custom">
      <totalsRowFormula>Table75[](Table72[DSL-JSON])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76" name="Table76" displayName="Table76" ref="B57:Y60">
  <autoFilter ref="B57:Y60"/>
  <tableColumns count="24">
    <tableColumn id="2" name="Newtonsoft" totalsRowFunction="custom">
      <totalsRowFormula>Table80[](Table76[Newtonsoft])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Table80[](Table76[Jil])</totalsRowFormula>
    </tableColumn>
    <tableColumn id="9" name="NetJSON"/>
    <tableColumn id="8" name="Jackson"/>
    <tableColumn id="4" name="DSL-JSON" totalsRowFunction="custom">
      <totalsRowFormula>Table80[](Table76[DSL-JSON])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Table80[](Table76[Gson])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Table80[](Table76[Service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80" name="Table80" displayName="Table80" ref="B37:N42" totalsRowShown="0">
  <autoFilter ref="B37:N42"/>
  <tableColumns count="13">
    <tableColumn id="1" name="Average"/>
    <tableColumn id="2" name="Newtonsoft" dataDxfId="119">
      <calculatedColumnFormula>Table80[](Table76[Newtonsoft])</calculatedColumnFormula>
    </tableColumn>
    <tableColumn id="3" name="Revenj" dataDxfId="118"/>
    <tableColumn id="11" name="ProtoBuf (binary reference)" dataDxfId="117"/>
    <tableColumn id="4" name="Service Stack" dataDxfId="116"/>
    <tableColumn id="8" name="Jil" dataDxfId="115"/>
    <tableColumn id="7" name="NetJSON" dataDxfId="114"/>
    <tableColumn id="5" name="Jackson afterburner" dataDxfId="113"/>
    <tableColumn id="6" name="DSL-JSON" dataDxfId="112"/>
    <tableColumn id="9" name="Kryo (binary reference)" dataDxfId="111"/>
    <tableColumn id="13" name="Boon" dataDxfId="110"/>
    <tableColumn id="12" name="Alibaba" dataDxfId="109"/>
    <tableColumn id="10" name="Gson" dataDxfId="108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79" name="Table79" displayName="Table79" ref="B46:N48" totalsRowShown="0">
  <autoFilter ref="B46:N48"/>
  <tableColumns count="13">
    <tableColumn id="1" name="Deviation"/>
    <tableColumn id="2" name="Newtonsoft" dataDxfId="107">
      <calculatedColumnFormula>Table80[](Table76[Newtonsoft])</calculatedColumnFormula>
    </tableColumn>
    <tableColumn id="3" name="Revenj" dataDxfId="106"/>
    <tableColumn id="11" name="Protobuf (binary reference)" dataDxfId="105"/>
    <tableColumn id="4" name="Service Stack" dataDxfId="104"/>
    <tableColumn id="5" name="Jil" dataDxfId="103">
      <calculatedColumnFormula>DEVSQ(Table76[Jil])</calculatedColumnFormula>
    </tableColumn>
    <tableColumn id="6" name="NetJSON" dataDxfId="102">
      <calculatedColumnFormula>DEVSQ(Table78[NetJSON])</calculatedColumnFormula>
    </tableColumn>
    <tableColumn id="7" name="Jackson afterburner" dataDxfId="101"/>
    <tableColumn id="8" name="DSL-JSON" dataDxfId="100"/>
    <tableColumn id="9" name="Kryo (binary reference)" dataDxfId="99"/>
    <tableColumn id="13" name="Boon" dataDxfId="98"/>
    <tableColumn id="12" name="Alibaba" dataDxfId="97"/>
    <tableColumn id="10" name="Gson" dataDxfId="96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78" name="Table78" displayName="Table78" ref="B63:M66">
  <autoFilter ref="B63:M66"/>
  <tableColumns count="12">
    <tableColumn id="2" name="Newtonsoft" totalsRowFunction="custom">
      <totalsRowFormula>Table80[](Table78[Newtonsoft])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Table80[](Table78[Jil])</totalsRowFormula>
    </tableColumn>
    <tableColumn id="10" name="NetJSON"/>
    <tableColumn id="15" name="Jackson"/>
    <tableColumn id="6" name="DSL-JSON" totalsRowFunction="custom">
      <totalsRowFormula>Table80[](Table78[DSL-JSON])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0" name="Table20" displayName="Table20" ref="B37:N42" totalsRowShown="0">
  <autoFilter ref="B37:N42"/>
  <tableColumns count="13">
    <tableColumn id="1" name="Average"/>
    <tableColumn id="2" name="Newtonsoft" dataDxfId="407">
      <calculatedColumnFormula>Table20[](Table16[Newtonsoft])</calculatedColumnFormula>
    </tableColumn>
    <tableColumn id="3" name="Revenj" dataDxfId="406"/>
    <tableColumn id="11" name="ProtoBuf (binary reference)" dataDxfId="405"/>
    <tableColumn id="4" name="Service Stack" dataDxfId="404"/>
    <tableColumn id="8" name="Jil" dataDxfId="403"/>
    <tableColumn id="7" name="NetJSON" dataDxfId="402"/>
    <tableColumn id="5" name="Jackson afterburner" dataDxfId="401"/>
    <tableColumn id="6" name="DSL-JSON" dataDxfId="400"/>
    <tableColumn id="9" name="Kryo (binary reference)" dataDxfId="399"/>
    <tableColumn id="13" name="Boon" dataDxfId="398"/>
    <tableColumn id="12" name="Alibaba" dataDxfId="397"/>
    <tableColumn id="10" name="Gson" dataDxfId="396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7" name="Table77" displayName="Table77" ref="B51:M54">
  <autoFilter ref="B51:M54"/>
  <tableColumns count="12">
    <tableColumn id="2" name="Newtonsoft" totalsRowFunction="custom">
      <totalsRowFormula>Table80[](Table77[Newtonsoft])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Table80[](Table77[Jil])</totalsRowFormula>
    </tableColumn>
    <tableColumn id="10" name="NetJSON"/>
    <tableColumn id="15" name="Jackson"/>
    <tableColumn id="6" name="DSL-JSON" totalsRowFunction="custom">
      <totalsRowFormula>Table80[](Table77[DSL-JSON])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81" name="Table81" displayName="Table81" ref="B57:Y60">
  <autoFilter ref="B57:Y60"/>
  <tableColumns count="24">
    <tableColumn id="2" name="Newtonsoft" totalsRowFunction="custom">
      <totalsRowFormula>Table85[](Table81[Newtonsoft])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Table85[](Table81[Jil])</totalsRowFormula>
    </tableColumn>
    <tableColumn id="9" name="NetJSON"/>
    <tableColumn id="8" name="Jackson"/>
    <tableColumn id="4" name="DSL-JSON" totalsRowFunction="custom">
      <totalsRowFormula>Table85[](Table81[DSL-JSON])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Table85[](Table81[Gson])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Table85[](Table81[Service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85" name="Table85" displayName="Table85" ref="B37:N42" totalsRowShown="0">
  <autoFilter ref="B37:N42"/>
  <tableColumns count="13">
    <tableColumn id="1" name="Average"/>
    <tableColumn id="2" name="Newtonsoft" dataDxfId="95">
      <calculatedColumnFormula>Table85[](Table81[Newtonsoft])</calculatedColumnFormula>
    </tableColumn>
    <tableColumn id="3" name="Revenj" dataDxfId="94"/>
    <tableColumn id="11" name="ProtoBuf (binary reference)" dataDxfId="93"/>
    <tableColumn id="4" name="Service Stack" dataDxfId="92"/>
    <tableColumn id="8" name="Jil" dataDxfId="91"/>
    <tableColumn id="7" name="NetJSON" dataDxfId="90"/>
    <tableColumn id="5" name="Jackson afterburner" dataDxfId="89"/>
    <tableColumn id="6" name="DSL-JSON" dataDxfId="88"/>
    <tableColumn id="9" name="Kryo (binary reference)" dataDxfId="87"/>
    <tableColumn id="13" name="Boon" dataDxfId="86"/>
    <tableColumn id="12" name="Alibaba" dataDxfId="85"/>
    <tableColumn id="10" name="Gson" dataDxfId="84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84" name="Table84" displayName="Table84" ref="B46:N48" totalsRowShown="0">
  <autoFilter ref="B46:N48"/>
  <tableColumns count="13">
    <tableColumn id="1" name="Deviation"/>
    <tableColumn id="2" name="Newtonsoft" dataDxfId="83">
      <calculatedColumnFormula>Table85[](Table81[Newtonsoft])</calculatedColumnFormula>
    </tableColumn>
    <tableColumn id="3" name="Revenj" dataDxfId="82"/>
    <tableColumn id="11" name="Protobuf (binary reference)" dataDxfId="81"/>
    <tableColumn id="4" name="Service Stack" dataDxfId="80"/>
    <tableColumn id="5" name="Jil" dataDxfId="79">
      <calculatedColumnFormula>DEVSQ(Table81[Jil])</calculatedColumnFormula>
    </tableColumn>
    <tableColumn id="6" name="NetJSON" dataDxfId="78">
      <calculatedColumnFormula>DEVSQ(Table83[NetJSON])</calculatedColumnFormula>
    </tableColumn>
    <tableColumn id="7" name="Jackson afterburner" dataDxfId="77"/>
    <tableColumn id="8" name="DSL-JSON" dataDxfId="76"/>
    <tableColumn id="9" name="Kryo (binary reference)" dataDxfId="75"/>
    <tableColumn id="13" name="Boon" dataDxfId="74"/>
    <tableColumn id="12" name="Alibaba" dataDxfId="73"/>
    <tableColumn id="10" name="Gson" dataDxfId="72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3" name="Table83" displayName="Table83" ref="B63:M66">
  <autoFilter ref="B63:M66"/>
  <tableColumns count="12">
    <tableColumn id="2" name="Newtonsoft" totalsRowFunction="custom">
      <totalsRowFormula>Table85[](Table83[Newtonsoft])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Table85[](Table83[Jil])</totalsRowFormula>
    </tableColumn>
    <tableColumn id="10" name="NetJSON"/>
    <tableColumn id="15" name="Jackson"/>
    <tableColumn id="6" name="DSL-JSON" totalsRowFunction="custom">
      <totalsRowFormula>Table85[](Table83[DSL-JSON])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2" name="Table82" displayName="Table82" ref="B51:M54">
  <autoFilter ref="B51:M54"/>
  <tableColumns count="12">
    <tableColumn id="2" name="Newtonsoft" totalsRowFunction="custom">
      <totalsRowFormula>Table85[](Table82[Newtonsoft])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Table85[](Table82[Jil])</totalsRowFormula>
    </tableColumn>
    <tableColumn id="10" name="NetJSON"/>
    <tableColumn id="15" name="Jackson"/>
    <tableColumn id="6" name="DSL-JSON" totalsRowFunction="custom">
      <totalsRowFormula>Table85[](Table82[DSL-JSON])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6" name="Table86" displayName="Table86" ref="B57:Y60">
  <autoFilter ref="B57:Y60"/>
  <tableColumns count="24">
    <tableColumn id="2" name="Newtonsoft" totalsRowFunction="custom">
      <totalsRowFormula>Table90[](Table86[Newtonsoft])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Table90[](Table86[Jil])</totalsRowFormula>
    </tableColumn>
    <tableColumn id="9" name="NetJSON"/>
    <tableColumn id="8" name="Jackson"/>
    <tableColumn id="4" name="DSL-JSON" totalsRowFunction="custom">
      <totalsRowFormula>Table90[](Table86[DSL-JSON])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Table90[](Table86[Gson])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Table90[](Table86[Service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90" name="Table90" displayName="Table90" ref="B37:N42" totalsRowShown="0">
  <autoFilter ref="B37:N42"/>
  <tableColumns count="13">
    <tableColumn id="1" name="Average"/>
    <tableColumn id="2" name="Newtonsoft" dataDxfId="71">
      <calculatedColumnFormula>Table90[](Table86[Newtonsoft])</calculatedColumnFormula>
    </tableColumn>
    <tableColumn id="3" name="Revenj" dataDxfId="70"/>
    <tableColumn id="11" name="ProtoBuf (binary reference)" dataDxfId="69"/>
    <tableColumn id="4" name="Service Stack" dataDxfId="68"/>
    <tableColumn id="8" name="Jil" dataDxfId="67"/>
    <tableColumn id="7" name="NetJSON" dataDxfId="66"/>
    <tableColumn id="5" name="Jackson afterburner" dataDxfId="65"/>
    <tableColumn id="6" name="DSL-JSON" dataDxfId="64"/>
    <tableColumn id="9" name="Kryo (binary reference)" dataDxfId="63"/>
    <tableColumn id="13" name="Boon" dataDxfId="62"/>
    <tableColumn id="12" name="Alibaba" dataDxfId="61"/>
    <tableColumn id="10" name="Gson" dataDxfId="60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89" name="Table89" displayName="Table89" ref="B46:N48" totalsRowShown="0">
  <autoFilter ref="B46:N48"/>
  <tableColumns count="13">
    <tableColumn id="1" name="Deviation"/>
    <tableColumn id="2" name="Newtonsoft" dataDxfId="59">
      <calculatedColumnFormula>Table90[](Table86[Newtonsoft])</calculatedColumnFormula>
    </tableColumn>
    <tableColumn id="3" name="Revenj" dataDxfId="58"/>
    <tableColumn id="11" name="Protobuf (binary reference)" dataDxfId="57"/>
    <tableColumn id="4" name="Service Stack" dataDxfId="56"/>
    <tableColumn id="5" name="Jil" dataDxfId="55">
      <calculatedColumnFormula>DEVSQ(Table86[Jil])</calculatedColumnFormula>
    </tableColumn>
    <tableColumn id="6" name="NetJSON" dataDxfId="54">
      <calculatedColumnFormula>DEVSQ(Table88[NetJSON])</calculatedColumnFormula>
    </tableColumn>
    <tableColumn id="7" name="Jackson afterburner" dataDxfId="53"/>
    <tableColumn id="8" name="DSL-JSON" dataDxfId="52"/>
    <tableColumn id="9" name="Kryo (binary reference)" dataDxfId="51"/>
    <tableColumn id="13" name="Boon" dataDxfId="50"/>
    <tableColumn id="12" name="Alibaba" dataDxfId="49"/>
    <tableColumn id="10" name="Gson" dataDxfId="48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88" name="Table88" displayName="Table88" ref="B63:M66">
  <autoFilter ref="B63:M66"/>
  <tableColumns count="12">
    <tableColumn id="2" name="Newtonsoft" totalsRowFunction="custom">
      <totalsRowFormula>Table90[](Table88[Newtonsoft])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Table90[](Table88[Jil])</totalsRowFormula>
    </tableColumn>
    <tableColumn id="10" name="NetJSON"/>
    <tableColumn id="15" name="Jackson"/>
    <tableColumn id="6" name="DSL-JSON" totalsRowFunction="custom">
      <totalsRowFormula>Table90[](Table88[DSL-JSON])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B46:N48" totalsRowShown="0">
  <autoFilter ref="B46:N48"/>
  <tableColumns count="13">
    <tableColumn id="1" name="Deviation"/>
    <tableColumn id="2" name="Newtonsoft" dataDxfId="395">
      <calculatedColumnFormula>Table20[](Table16[Newtonsoft])</calculatedColumnFormula>
    </tableColumn>
    <tableColumn id="3" name="Revenj" dataDxfId="394"/>
    <tableColumn id="11" name="Protobuf (binary reference)" dataDxfId="393"/>
    <tableColumn id="4" name="Service Stack" dataDxfId="392"/>
    <tableColumn id="5" name="Jil" dataDxfId="391">
      <calculatedColumnFormula>DEVSQ(Table16[Jil])</calculatedColumnFormula>
    </tableColumn>
    <tableColumn id="6" name="NetJSON" dataDxfId="390">
      <calculatedColumnFormula>DEVSQ(Table18[NetJSON])</calculatedColumnFormula>
    </tableColumn>
    <tableColumn id="7" name="Jackson afterburner" dataDxfId="389"/>
    <tableColumn id="8" name="DSL-JSON" dataDxfId="388"/>
    <tableColumn id="9" name="Kryo (binary reference)" dataDxfId="387"/>
    <tableColumn id="13" name="Boon" dataDxfId="386"/>
    <tableColumn id="12" name="Alibaba" dataDxfId="385"/>
    <tableColumn id="10" name="Gson" dataDxfId="384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7" name="Table87" displayName="Table87" ref="B51:M54">
  <autoFilter ref="B51:M54"/>
  <tableColumns count="12">
    <tableColumn id="2" name="Newtonsoft" totalsRowFunction="custom">
      <totalsRowFormula>Table90[](Table87[Newtonsoft])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Table90[](Table87[Jil])</totalsRowFormula>
    </tableColumn>
    <tableColumn id="10" name="NetJSON"/>
    <tableColumn id="15" name="Jackson"/>
    <tableColumn id="6" name="DSL-JSON" totalsRowFunction="custom">
      <totalsRowFormula>Table90[](Table87[DSL-JSON])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91" name="Table91" displayName="Table91" ref="B57:Y60">
  <autoFilter ref="B57:Y60"/>
  <tableColumns count="24">
    <tableColumn id="2" name="Newtonsoft" totalsRowFunction="custom">
      <totalsRowFormula>Table95[](Table91[Newtonsoft])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Table95[](Table91[Jil])</totalsRowFormula>
    </tableColumn>
    <tableColumn id="9" name="NetJSON"/>
    <tableColumn id="8" name="Jackson"/>
    <tableColumn id="4" name="DSL-JSON" totalsRowFunction="custom">
      <totalsRowFormula>Table95[](Table91[DSL-JSON])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Table95[](Table91[Gson])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Table95[](Table91[Service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95" name="Table95" displayName="Table95" ref="B37:N42" totalsRowShown="0">
  <autoFilter ref="B37:N42"/>
  <tableColumns count="13">
    <tableColumn id="1" name="Average"/>
    <tableColumn id="2" name="Newtonsoft" dataDxfId="47">
      <calculatedColumnFormula>Table95[](Table91[Newtonsoft])</calculatedColumnFormula>
    </tableColumn>
    <tableColumn id="3" name="Revenj" dataDxfId="46"/>
    <tableColumn id="11" name="ProtoBuf (binary reference)" dataDxfId="45"/>
    <tableColumn id="4" name="Service Stack" dataDxfId="44"/>
    <tableColumn id="8" name="Jil" dataDxfId="43"/>
    <tableColumn id="7" name="NetJSON" dataDxfId="42"/>
    <tableColumn id="5" name="Jackson afterburner" dataDxfId="41"/>
    <tableColumn id="6" name="DSL-JSON" dataDxfId="40"/>
    <tableColumn id="9" name="Kryo (binary reference)" dataDxfId="39"/>
    <tableColumn id="13" name="Boon" dataDxfId="38"/>
    <tableColumn id="12" name="Alibaba" dataDxfId="37"/>
    <tableColumn id="10" name="Gson" dataDxfId="36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94" name="Table94" displayName="Table94" ref="B46:N48" totalsRowShown="0">
  <autoFilter ref="B46:N48"/>
  <tableColumns count="13">
    <tableColumn id="1" name="Deviation"/>
    <tableColumn id="2" name="Newtonsoft" dataDxfId="35">
      <calculatedColumnFormula>Table95[](Table91[Newtonsoft])</calculatedColumnFormula>
    </tableColumn>
    <tableColumn id="3" name="Revenj" dataDxfId="34"/>
    <tableColumn id="11" name="Protobuf (binary reference)" dataDxfId="33"/>
    <tableColumn id="4" name="Service Stack" dataDxfId="32"/>
    <tableColumn id="5" name="Jil" dataDxfId="31">
      <calculatedColumnFormula>DEVSQ(Table91[Jil])</calculatedColumnFormula>
    </tableColumn>
    <tableColumn id="6" name="NetJSON" dataDxfId="30">
      <calculatedColumnFormula>DEVSQ(Table93[NetJSON])</calculatedColumnFormula>
    </tableColumn>
    <tableColumn id="7" name="Jackson afterburner" dataDxfId="29"/>
    <tableColumn id="8" name="DSL-JSON" dataDxfId="28"/>
    <tableColumn id="9" name="Kryo (binary reference)" dataDxfId="27"/>
    <tableColumn id="13" name="Boon" dataDxfId="26"/>
    <tableColumn id="12" name="Alibaba" dataDxfId="25"/>
    <tableColumn id="10" name="Gson" dataDxfId="2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93" name="Table93" displayName="Table93" ref="B63:M66">
  <autoFilter ref="B63:M66"/>
  <tableColumns count="12">
    <tableColumn id="2" name="Newtonsoft" totalsRowFunction="custom">
      <totalsRowFormula>Table95[](Table93[Newtonsoft])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Table95[](Table93[Jil])</totalsRowFormula>
    </tableColumn>
    <tableColumn id="10" name="NetJSON"/>
    <tableColumn id="15" name="Jackson"/>
    <tableColumn id="6" name="DSL-JSON" totalsRowFunction="custom">
      <totalsRowFormula>Table95[](Table93[DSL-JSON])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92" name="Table92" displayName="Table92" ref="B51:M54">
  <autoFilter ref="B51:M54"/>
  <tableColumns count="12">
    <tableColumn id="2" name="Newtonsoft" totalsRowFunction="custom">
      <totalsRowFormula>Table95[](Table92[Newtonsoft])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Table95[](Table92[Jil])</totalsRowFormula>
    </tableColumn>
    <tableColumn id="10" name="NetJSON"/>
    <tableColumn id="15" name="Jackson"/>
    <tableColumn id="6" name="DSL-JSON" totalsRowFunction="custom">
      <totalsRowFormula>Table95[](Table92[DSL-JSON])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96" name="Table96" displayName="Table96" ref="B57:Y60">
  <autoFilter ref="B57:Y60"/>
  <tableColumns count="24">
    <tableColumn id="2" name="Newtonsoft" totalsRowFunction="custom">
      <totalsRowFormula>Table100[](Table96[Newtonsoft])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Table100[](Table96[Jil])</totalsRowFormula>
    </tableColumn>
    <tableColumn id="9" name="NetJSON"/>
    <tableColumn id="8" name="Jackson"/>
    <tableColumn id="4" name="DSL-JSON" totalsRowFunction="custom">
      <totalsRowFormula>Table100[](Table96[DSL-JSON])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Table100[](Table96[Gson])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Table100[](Table96[Service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00" name="Table100" displayName="Table100" ref="B37:N42" totalsRowShown="0">
  <autoFilter ref="B37:N42"/>
  <tableColumns count="13">
    <tableColumn id="1" name="Average"/>
    <tableColumn id="2" name="Newtonsoft" dataDxfId="23">
      <calculatedColumnFormula>Table100[](Table96[Newtonsoft])</calculatedColumnFormula>
    </tableColumn>
    <tableColumn id="3" name="Revenj" dataDxfId="22"/>
    <tableColumn id="11" name="ProtoBuf (binary reference)" dataDxfId="21"/>
    <tableColumn id="4" name="Service Stack" dataDxfId="20"/>
    <tableColumn id="8" name="Jil" dataDxfId="19"/>
    <tableColumn id="7" name="NetJSON" dataDxfId="18"/>
    <tableColumn id="5" name="Jackson afterburner" dataDxfId="17"/>
    <tableColumn id="6" name="DSL-JSON" dataDxfId="16"/>
    <tableColumn id="9" name="Kryo (binary reference)" dataDxfId="15"/>
    <tableColumn id="13" name="Boon" dataDxfId="14"/>
    <tableColumn id="12" name="Alibaba" dataDxfId="13"/>
    <tableColumn id="10" name="Gson" dataDxfId="12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99" name="Table99" displayName="Table99" ref="B46:N48" totalsRowShown="0">
  <autoFilter ref="B46:N48"/>
  <tableColumns count="13">
    <tableColumn id="1" name="Deviation"/>
    <tableColumn id="2" name="Newtonsoft" dataDxfId="11">
      <calculatedColumnFormula>Table100[](Table96[Newtonsoft])</calculatedColumnFormula>
    </tableColumn>
    <tableColumn id="3" name="Revenj" dataDxfId="10"/>
    <tableColumn id="11" name="Protobuf (binary reference)" dataDxfId="9"/>
    <tableColumn id="4" name="Service Stack" dataDxfId="8"/>
    <tableColumn id="5" name="Jil" dataDxfId="7">
      <calculatedColumnFormula>DEVSQ(Table96[Jil])</calculatedColumnFormula>
    </tableColumn>
    <tableColumn id="6" name="NetJSON" dataDxfId="6">
      <calculatedColumnFormula>DEVSQ(Table98[NetJSON])</calculatedColumnFormula>
    </tableColumn>
    <tableColumn id="7" name="Jackson afterburner" dataDxfId="5"/>
    <tableColumn id="8" name="DSL-JSON" dataDxfId="4"/>
    <tableColumn id="9" name="Kryo (binary reference)" dataDxfId="3"/>
    <tableColumn id="13" name="Boon" dataDxfId="2"/>
    <tableColumn id="12" name="Alibaba" dataDxfId="1"/>
    <tableColumn id="10" name="Gson" dataDxfId="0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98" name="Table98" displayName="Table98" ref="B63:M66">
  <autoFilter ref="B63:M66"/>
  <tableColumns count="12">
    <tableColumn id="2" name="Newtonsoft" totalsRowFunction="custom">
      <totalsRowFormula>Table100[](Table98[Newtonsoft])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Table100[](Table98[Jil])</totalsRowFormula>
    </tableColumn>
    <tableColumn id="10" name="NetJSON"/>
    <tableColumn id="15" name="Jackson"/>
    <tableColumn id="6" name="DSL-JSON" totalsRowFunction="custom">
      <totalsRowFormula>Table100[](Table98[DSL-JSON])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ref="B63:M66">
  <autoFilter ref="B63:M66"/>
  <tableColumns count="12">
    <tableColumn id="2" name="Newtonsoft" totalsRowFunction="custom">
      <totalsRowFormula>Table20[](Table18[Newtonsoft])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Table20[](Table18[Jil])</totalsRowFormula>
    </tableColumn>
    <tableColumn id="10" name="NetJSON"/>
    <tableColumn id="15" name="Jackson"/>
    <tableColumn id="6" name="DSL-JSON" totalsRowFunction="custom">
      <totalsRowFormula>Table20[](Table18[DSL-JSON])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97" name="Table97" displayName="Table97" ref="B51:M54">
  <autoFilter ref="B51:M54"/>
  <tableColumns count="12">
    <tableColumn id="2" name="Newtonsoft" totalsRowFunction="custom">
      <totalsRowFormula>Table100[](Table97[Newtonsoft])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Table100[](Table97[Jil])</totalsRowFormula>
    </tableColumn>
    <tableColumn id="10" name="NetJSON"/>
    <tableColumn id="15" name="Jackson"/>
    <tableColumn id="6" name="DSL-JSON" totalsRowFunction="custom">
      <totalsRowFormula>Table100[](Table97[DSL-JSON])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7" Type="http://schemas.openxmlformats.org/officeDocument/2006/relationships/table" Target="../tables/table5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9.xml"/><Relationship Id="rId5" Type="http://schemas.openxmlformats.org/officeDocument/2006/relationships/table" Target="../tables/table48.xml"/><Relationship Id="rId4" Type="http://schemas.openxmlformats.org/officeDocument/2006/relationships/table" Target="../tables/table4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7" Type="http://schemas.openxmlformats.org/officeDocument/2006/relationships/table" Target="../tables/table55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54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7" Type="http://schemas.openxmlformats.org/officeDocument/2006/relationships/table" Target="../tables/table60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59.xm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7" Type="http://schemas.openxmlformats.org/officeDocument/2006/relationships/table" Target="../tables/table65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64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69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4" Type="http://schemas.openxmlformats.org/officeDocument/2006/relationships/table" Target="../tables/table66.xml"/><Relationship Id="rId9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7" Type="http://schemas.openxmlformats.org/officeDocument/2006/relationships/table" Target="../tables/table7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6.xml"/><Relationship Id="rId7" Type="http://schemas.openxmlformats.org/officeDocument/2006/relationships/table" Target="../tables/table80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79.xml"/><Relationship Id="rId5" Type="http://schemas.openxmlformats.org/officeDocument/2006/relationships/table" Target="../tables/table78.xml"/><Relationship Id="rId4" Type="http://schemas.openxmlformats.org/officeDocument/2006/relationships/table" Target="../tables/table7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1.xml"/><Relationship Id="rId7" Type="http://schemas.openxmlformats.org/officeDocument/2006/relationships/table" Target="../tables/table85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84.xml"/><Relationship Id="rId5" Type="http://schemas.openxmlformats.org/officeDocument/2006/relationships/table" Target="../tables/table83.xml"/><Relationship Id="rId4" Type="http://schemas.openxmlformats.org/officeDocument/2006/relationships/table" Target="../tables/table8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6.xml"/><Relationship Id="rId7" Type="http://schemas.openxmlformats.org/officeDocument/2006/relationships/table" Target="../tables/table9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7" Type="http://schemas.openxmlformats.org/officeDocument/2006/relationships/table" Target="../tables/table4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9.xm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tabSelected="1"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36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AVERAGE(Instance[Newtonsoft])</f>
        <v>184.33333333333334</v>
      </c>
      <c r="D38" s="2">
        <f>AVERAGE(Instance[Revenj])</f>
        <v>186.33333333333334</v>
      </c>
      <c r="E38" s="2">
        <f>AVERAGE(Instance[ProtoBuf (binary reference)])</f>
        <v>189</v>
      </c>
      <c r="F38" s="2">
        <f>AVERAGE(Instance[Service Stack])</f>
        <v>185</v>
      </c>
      <c r="G38" s="2">
        <f>AVERAGE(Instance[Jil])</f>
        <v>185.33333333333334</v>
      </c>
      <c r="H38" s="2">
        <f>AVERAGE(Instance[NetJSON])</f>
        <v>183.66666666666666</v>
      </c>
      <c r="I38" s="2">
        <f>AVERAGE(Instance[Jackson])</f>
        <v>0</v>
      </c>
      <c r="J38" s="2">
        <f>AVERAGE(Instance[DSL-JSON])</f>
        <v>1</v>
      </c>
      <c r="K38" s="2">
        <f>AVERAGE(Instance[Kryo (binary reference)])</f>
        <v>1</v>
      </c>
      <c r="L38" s="2">
        <f>AVERAGE(Instance[Boon])</f>
        <v>1</v>
      </c>
      <c r="M38" s="2">
        <f>AVERAGE(Instance[Alibaba])</f>
        <v>1</v>
      </c>
      <c r="N38" s="2">
        <f>AVERAGE(Instance[Gson])</f>
        <v>1</v>
      </c>
      <c r="O38" s="2"/>
      <c r="P38" s="2"/>
      <c r="Q38" s="2"/>
    </row>
    <row r="39" spans="2:17" x14ac:dyDescent="0.25">
      <c r="B39" t="s">
        <v>0</v>
      </c>
      <c r="C39" s="2">
        <f>AVERAGE(Serialization[Newtonsoft]) - C38</f>
        <v>82.666666666666657</v>
      </c>
      <c r="D39" s="2">
        <f>AVERAGE(Serialization[Revenj]) - D38</f>
        <v>2.6666666666666572</v>
      </c>
      <c r="E39" s="2">
        <f>AVERAGE(Serialization[ProtoBuf (binary reference)]) - E38</f>
        <v>30.666666666666657</v>
      </c>
      <c r="F39" s="2">
        <f>AVERAGE(Serialization[Service Stack]) - F38</f>
        <v>129</v>
      </c>
      <c r="G39" s="2">
        <f>AVERAGE(Serialization[Jil]) - G38</f>
        <v>195.66666666666666</v>
      </c>
      <c r="H39" s="2">
        <f>AVERAGE(Serialization[NetJSON]) - H38</f>
        <v>65.666666666666686</v>
      </c>
      <c r="I39" s="2">
        <f>AVERAGE(Serialization[Jackson]) - I38</f>
        <v>82</v>
      </c>
      <c r="J39" s="2">
        <f>AVERAGE(Serialization[DSL-JSON]) - J38</f>
        <v>0</v>
      </c>
      <c r="K39" s="2">
        <f>AVERAGE(Serialization[Kryo (binary reference)]) - K38</f>
        <v>14</v>
      </c>
      <c r="L39" s="2">
        <f>AVERAGE(Serialization[Boon]) - L38</f>
        <v>72</v>
      </c>
      <c r="M39" s="2">
        <f>AVERAGE(Serialization[Alibaba]) - M38</f>
        <v>166</v>
      </c>
      <c r="N39" s="2">
        <f>AVERAGE(Serialization[Gson]) - N38</f>
        <v>23.333333333333332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15.666666666666686</v>
      </c>
      <c r="D40" s="2">
        <f t="shared" si="0"/>
        <v>8.3333333333333428</v>
      </c>
      <c r="E40" s="2">
        <f t="shared" ref="E40" si="1">E41 - E39 - E38</f>
        <v>2.6666666666666856</v>
      </c>
      <c r="F40" s="2">
        <f t="shared" si="0"/>
        <v>22.333333333333314</v>
      </c>
      <c r="G40" s="2">
        <f t="shared" si="0"/>
        <v>64.666666666666686</v>
      </c>
      <c r="H40" s="2">
        <f t="shared" si="0"/>
        <v>1.3333333333333144</v>
      </c>
      <c r="I40" s="2">
        <f t="shared" ref="I40" si="2">I41 - I39 - I38</f>
        <v>32</v>
      </c>
      <c r="J40" s="2">
        <f t="shared" ref="J40" si="3">J41 - J39 - J38</f>
        <v>1</v>
      </c>
      <c r="K40" s="2">
        <f t="shared" ref="K40:L40" si="4">K41 - K39 - K38</f>
        <v>12</v>
      </c>
      <c r="L40" s="2">
        <f t="shared" si="4"/>
        <v>26.333333333333329</v>
      </c>
      <c r="M40" s="2">
        <f t="shared" ref="M40" si="5">M41 - M39 - M38</f>
        <v>17.333333333333343</v>
      </c>
      <c r="N40" s="2">
        <f t="shared" ref="N40" si="6">N41 - N39 - N38</f>
        <v>5</v>
      </c>
      <c r="O40" s="2"/>
      <c r="P40" s="2"/>
      <c r="Q40" s="2"/>
    </row>
    <row r="41" spans="2:17" x14ac:dyDescent="0.25">
      <c r="B41" t="s">
        <v>23</v>
      </c>
      <c r="C41" s="2">
        <f>AVERAGE(Both[Newtonsoft])</f>
        <v>282.66666666666669</v>
      </c>
      <c r="D41" s="2">
        <f>AVERAGE(Both[Revenj])</f>
        <v>197.33333333333334</v>
      </c>
      <c r="E41" s="2">
        <f>AVERAGE(Both[ProtoBuf (binary reference)])</f>
        <v>222.33333333333334</v>
      </c>
      <c r="F41" s="2">
        <f>AVERAGE(Both[Service Stack])</f>
        <v>336.33333333333331</v>
      </c>
      <c r="G41" s="2">
        <f>AVERAGE(Both[Jil])</f>
        <v>445.66666666666669</v>
      </c>
      <c r="H41" s="2">
        <f>AVERAGE(Both[NetJSON])</f>
        <v>250.66666666666666</v>
      </c>
      <c r="I41" s="2">
        <f>AVERAGE(Both[Jackson])</f>
        <v>114</v>
      </c>
      <c r="J41" s="2">
        <f>AVERAGE(Both[DSL-JSON])</f>
        <v>2</v>
      </c>
      <c r="K41" s="2">
        <f>AVERAGE(Both[Kryo (binary reference)])</f>
        <v>27</v>
      </c>
      <c r="L41" s="2">
        <f>AVERAGE(Both[Boon])</f>
        <v>99.333333333333329</v>
      </c>
      <c r="M41" s="2">
        <f>AVERAGE(Both[Alibaba])</f>
        <v>184.33333333333334</v>
      </c>
      <c r="N41" s="2">
        <f>AVERAGE(Both[Gson])</f>
        <v>29.333333333333332</v>
      </c>
      <c r="O41" s="2"/>
      <c r="P41" s="2"/>
      <c r="Q41" s="2"/>
    </row>
    <row r="42" spans="2:17" x14ac:dyDescent="0.25">
      <c r="B42" t="s">
        <v>4</v>
      </c>
      <c r="C42" s="3">
        <f>AVERAGE(Serialization[Newtonsoft (size)])</f>
        <v>40</v>
      </c>
      <c r="D42" s="3">
        <f>AVERAGE(Serialization[Revenj (size)])</f>
        <v>28</v>
      </c>
      <c r="E42" s="3">
        <f>AVERAGE(Serialization[ProtoBuf (size)])</f>
        <v>16</v>
      </c>
      <c r="F42" s="3">
        <f>AVERAGE(Serialization[Service Stack (size)])</f>
        <v>40</v>
      </c>
      <c r="G42" s="2">
        <f>AVERAGE(Serialization[Jil (size)])</f>
        <v>40</v>
      </c>
      <c r="H42" s="2">
        <f>AVERAGE(Serialization[NetJSON (size)])</f>
        <v>28</v>
      </c>
      <c r="I42" s="2">
        <f>AVERAGE(Serialization[Jackson (size)])</f>
        <v>40</v>
      </c>
      <c r="J42" s="2">
        <f>AVERAGE(Serialization[DSL-JSON (size)])</f>
        <v>28</v>
      </c>
      <c r="K42" s="2">
        <f>AVERAGE(Serialization[Kryo (size)])</f>
        <v>15</v>
      </c>
      <c r="L42" s="2">
        <f>AVERAGE(Serialization[Boon (size)])</f>
        <v>28</v>
      </c>
      <c r="M42" s="2">
        <f>AVERAGE(Serialization[Alibaba (size)])</f>
        <v>40</v>
      </c>
      <c r="N42" s="2">
        <f>AVERAGE(Serialization[Gson (size)])</f>
        <v>40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DEVSQ(Serialization[Newtonsoft])</f>
        <v>2</v>
      </c>
      <c r="D47" s="2">
        <f>DEVSQ(Serialization[Revenj])</f>
        <v>2</v>
      </c>
      <c r="E47" s="2">
        <f>DEVSQ(Serialization[ProtoBuf (binary reference)])</f>
        <v>0.66666666666666674</v>
      </c>
      <c r="F47" s="2">
        <f>DEVSQ(Serialization[Service Stack])</f>
        <v>0</v>
      </c>
      <c r="G47" s="2">
        <f>DEVSQ(Serialization[Jil])</f>
        <v>2</v>
      </c>
      <c r="H47" s="2">
        <f>DEVSQ(Serialization[NetJSON])</f>
        <v>0.66666666666666674</v>
      </c>
      <c r="I47" s="2">
        <f>DEVSQ(Serialization[Jackson])</f>
        <v>2</v>
      </c>
      <c r="J47" s="2">
        <f>DEVSQ(Serialization[DSL-JSON])</f>
        <v>0</v>
      </c>
      <c r="K47" s="2">
        <f>DEVSQ(Serialization[Kryo (binary reference)])</f>
        <v>0</v>
      </c>
      <c r="L47" s="2">
        <f>DEVSQ(Serialization[Boon])</f>
        <v>0</v>
      </c>
      <c r="M47" s="2">
        <f>DEVSQ(Serialization[Alibaba])</f>
        <v>14</v>
      </c>
      <c r="N47" s="2">
        <f>DEVSQ(Serialization[Gson])</f>
        <v>0.66666666666666674</v>
      </c>
      <c r="O47" s="2"/>
      <c r="P47" s="2"/>
      <c r="Q47" s="2"/>
    </row>
    <row r="48" spans="2:17" x14ac:dyDescent="0.25">
      <c r="B48" t="s">
        <v>23</v>
      </c>
      <c r="C48" s="2">
        <f>DEVSQ(Both[Newtonsoft])</f>
        <v>0.66666666666666674</v>
      </c>
      <c r="D48" s="2">
        <f>DEVSQ(Both[Revenj])</f>
        <v>0.66666666666666674</v>
      </c>
      <c r="E48" s="2">
        <f>DEVSQ(Both[ProtoBuf (binary reference)])</f>
        <v>0.66666666666666674</v>
      </c>
      <c r="F48" s="2">
        <f>DEVSQ(Both[Service Stack])</f>
        <v>0.66666666666666674</v>
      </c>
      <c r="G48" s="2">
        <f>DEVSQ(Both[Jil])</f>
        <v>0.66666666666666674</v>
      </c>
      <c r="H48" s="2">
        <f>DEVSQ(Both[NetJSON])</f>
        <v>0.66666666666666674</v>
      </c>
      <c r="I48" s="2">
        <f>DEVSQ(Both[Jackson])</f>
        <v>2</v>
      </c>
      <c r="J48" s="2">
        <f>DEVSQ(Both[DSL-JSON])</f>
        <v>0</v>
      </c>
      <c r="K48" s="2">
        <f>DEVSQ(Both[Kryo (binary reference)])</f>
        <v>0</v>
      </c>
      <c r="L48" s="2">
        <f>DEVSQ(Both[Boon])</f>
        <v>8.6666666666666679</v>
      </c>
      <c r="M48" s="2">
        <f>DEVSQ(Both[Alibaba])</f>
        <v>12.666666666666668</v>
      </c>
      <c r="N48" s="2">
        <f>DEVSQ(Both[Gson])</f>
        <v>48.666666666666671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185</v>
      </c>
      <c r="C52">
        <v>186</v>
      </c>
      <c r="D52">
        <v>189</v>
      </c>
      <c r="E52">
        <v>185</v>
      </c>
      <c r="F52">
        <v>185</v>
      </c>
      <c r="G52">
        <v>183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2:25" x14ac:dyDescent="0.25">
      <c r="B53">
        <v>184</v>
      </c>
      <c r="C53">
        <v>187</v>
      </c>
      <c r="D53">
        <v>190</v>
      </c>
      <c r="E53">
        <v>185</v>
      </c>
      <c r="F53">
        <v>185</v>
      </c>
      <c r="G53">
        <v>184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2:25" x14ac:dyDescent="0.25">
      <c r="B54">
        <v>184</v>
      </c>
      <c r="C54">
        <v>186</v>
      </c>
      <c r="D54">
        <v>188</v>
      </c>
      <c r="E54">
        <v>185</v>
      </c>
      <c r="F54">
        <v>186</v>
      </c>
      <c r="G54">
        <v>184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267</v>
      </c>
      <c r="C58">
        <v>189</v>
      </c>
      <c r="D58">
        <v>219</v>
      </c>
      <c r="E58">
        <v>314</v>
      </c>
      <c r="F58">
        <v>382</v>
      </c>
      <c r="G58">
        <v>249</v>
      </c>
      <c r="H58">
        <v>82</v>
      </c>
      <c r="I58">
        <v>1</v>
      </c>
      <c r="J58">
        <v>15</v>
      </c>
      <c r="K58">
        <v>73</v>
      </c>
      <c r="L58">
        <v>166</v>
      </c>
      <c r="M58">
        <v>24</v>
      </c>
      <c r="N58">
        <v>40</v>
      </c>
      <c r="O58">
        <v>28</v>
      </c>
      <c r="P58">
        <v>16</v>
      </c>
      <c r="Q58">
        <v>40</v>
      </c>
      <c r="R58">
        <v>40</v>
      </c>
      <c r="S58">
        <v>28</v>
      </c>
      <c r="T58">
        <v>40</v>
      </c>
      <c r="U58">
        <v>28</v>
      </c>
      <c r="V58">
        <v>15</v>
      </c>
      <c r="W58">
        <v>28</v>
      </c>
      <c r="X58">
        <v>40</v>
      </c>
      <c r="Y58">
        <v>40</v>
      </c>
    </row>
    <row r="59" spans="2:25" x14ac:dyDescent="0.25">
      <c r="B59">
        <v>268</v>
      </c>
      <c r="C59">
        <v>188</v>
      </c>
      <c r="D59">
        <v>220</v>
      </c>
      <c r="E59">
        <v>314</v>
      </c>
      <c r="F59">
        <v>380</v>
      </c>
      <c r="G59">
        <v>250</v>
      </c>
      <c r="H59">
        <v>83</v>
      </c>
      <c r="I59">
        <v>1</v>
      </c>
      <c r="J59">
        <v>15</v>
      </c>
      <c r="K59">
        <v>73</v>
      </c>
      <c r="L59">
        <v>165</v>
      </c>
      <c r="M59">
        <v>25</v>
      </c>
      <c r="N59">
        <v>40</v>
      </c>
      <c r="O59">
        <v>28</v>
      </c>
      <c r="P59">
        <v>16</v>
      </c>
      <c r="Q59">
        <v>40</v>
      </c>
      <c r="R59">
        <v>40</v>
      </c>
      <c r="S59">
        <v>28</v>
      </c>
      <c r="T59">
        <v>40</v>
      </c>
      <c r="U59">
        <v>28</v>
      </c>
      <c r="V59">
        <v>15</v>
      </c>
      <c r="W59">
        <v>28</v>
      </c>
      <c r="X59">
        <v>40</v>
      </c>
      <c r="Y59">
        <v>40</v>
      </c>
    </row>
    <row r="60" spans="2:25" x14ac:dyDescent="0.25">
      <c r="B60">
        <v>266</v>
      </c>
      <c r="C60">
        <v>190</v>
      </c>
      <c r="D60">
        <v>220</v>
      </c>
      <c r="E60">
        <v>314</v>
      </c>
      <c r="F60">
        <v>381</v>
      </c>
      <c r="G60">
        <v>249</v>
      </c>
      <c r="H60">
        <v>81</v>
      </c>
      <c r="I60">
        <v>1</v>
      </c>
      <c r="J60">
        <v>15</v>
      </c>
      <c r="K60">
        <v>73</v>
      </c>
      <c r="L60">
        <v>170</v>
      </c>
      <c r="M60">
        <v>24</v>
      </c>
      <c r="N60">
        <v>40</v>
      </c>
      <c r="O60">
        <v>28</v>
      </c>
      <c r="P60">
        <v>16</v>
      </c>
      <c r="Q60">
        <v>40</v>
      </c>
      <c r="R60">
        <v>40</v>
      </c>
      <c r="S60">
        <v>28</v>
      </c>
      <c r="T60">
        <v>40</v>
      </c>
      <c r="U60">
        <v>28</v>
      </c>
      <c r="V60">
        <v>15</v>
      </c>
      <c r="W60">
        <v>28</v>
      </c>
      <c r="X60">
        <v>40</v>
      </c>
      <c r="Y60">
        <v>40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283</v>
      </c>
      <c r="C64">
        <v>197</v>
      </c>
      <c r="D64">
        <v>222</v>
      </c>
      <c r="E64">
        <v>336</v>
      </c>
      <c r="F64">
        <v>446</v>
      </c>
      <c r="G64">
        <v>250</v>
      </c>
      <c r="H64">
        <v>114</v>
      </c>
      <c r="I64">
        <v>2</v>
      </c>
      <c r="J64">
        <v>27</v>
      </c>
      <c r="K64">
        <v>97</v>
      </c>
      <c r="L64">
        <v>182</v>
      </c>
      <c r="M64">
        <v>26</v>
      </c>
    </row>
    <row r="65" spans="2:13" x14ac:dyDescent="0.25">
      <c r="B65">
        <v>283</v>
      </c>
      <c r="C65">
        <v>197</v>
      </c>
      <c r="D65">
        <v>222</v>
      </c>
      <c r="E65">
        <v>336</v>
      </c>
      <c r="F65">
        <v>445</v>
      </c>
      <c r="G65">
        <v>251</v>
      </c>
      <c r="H65">
        <v>113</v>
      </c>
      <c r="I65">
        <v>2</v>
      </c>
      <c r="J65">
        <v>27</v>
      </c>
      <c r="K65">
        <v>100</v>
      </c>
      <c r="L65">
        <v>184</v>
      </c>
      <c r="M65">
        <v>35</v>
      </c>
    </row>
    <row r="66" spans="2:13" x14ac:dyDescent="0.25">
      <c r="B66">
        <v>282</v>
      </c>
      <c r="C66">
        <v>198</v>
      </c>
      <c r="D66">
        <v>223</v>
      </c>
      <c r="E66">
        <v>337</v>
      </c>
      <c r="F66">
        <v>446</v>
      </c>
      <c r="G66">
        <v>251</v>
      </c>
      <c r="H66">
        <v>115</v>
      </c>
      <c r="I66">
        <v>2</v>
      </c>
      <c r="J66">
        <v>27</v>
      </c>
      <c r="K66">
        <v>101</v>
      </c>
      <c r="L66">
        <v>187</v>
      </c>
      <c r="M66">
        <v>27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45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AVERAGE(Table57[Newtonsoft])</f>
        <v>33303.333333333336</v>
      </c>
      <c r="D38" s="2">
        <f>AVERAGE(Table57[Revenj])</f>
        <v>34047.333333333336</v>
      </c>
      <c r="E38" s="2">
        <f>AVERAGE(Table57[ProtoBuf (binary reference)])</f>
        <v>33711.666666666664</v>
      </c>
      <c r="F38" s="2">
        <f>AVERAGE(Table57[Service Stack])</f>
        <v>34420.333333333336</v>
      </c>
      <c r="G38" s="2">
        <f>AVERAGE(Table57[Jil])</f>
        <v>34675.333333333336</v>
      </c>
      <c r="H38" s="2">
        <f>AVERAGE(Table57[NetJSON])</f>
        <v>35073.333333333336</v>
      </c>
      <c r="I38" s="2">
        <f>AVERAGE(Table57[Jackson])</f>
        <v>23892.666666666668</v>
      </c>
      <c r="J38" s="2">
        <f>AVERAGE(Table57[DSL-JSON])</f>
        <v>23356.666666666668</v>
      </c>
      <c r="K38" s="2">
        <f>AVERAGE(Table57[Kryo (binary reference)])</f>
        <v>23255</v>
      </c>
      <c r="L38" s="2">
        <f>AVERAGE(Table57[Boon])</f>
        <v>23244</v>
      </c>
      <c r="M38" s="2">
        <f>AVERAGE(Table57[Alibaba])</f>
        <v>24016.333333333332</v>
      </c>
      <c r="N38" s="2">
        <f>AVERAGE(Table57[Gson])</f>
        <v>23309.333333333332</v>
      </c>
      <c r="O38" s="2"/>
      <c r="P38" s="2"/>
      <c r="Q38" s="2"/>
    </row>
    <row r="39" spans="2:17" x14ac:dyDescent="0.25">
      <c r="B39" t="s">
        <v>0</v>
      </c>
      <c r="C39" s="2">
        <f>AVERAGE(Table56[Newtonsoft]) - C38</f>
        <v>58389.333333333336</v>
      </c>
      <c r="D39" s="2">
        <f>AVERAGE(Table56[Revenj]) - D38</f>
        <v>21303</v>
      </c>
      <c r="E39" s="2">
        <f>AVERAGE(Table56[ProtoBuf (binary reference)]) - E38</f>
        <v>19204.666666666672</v>
      </c>
      <c r="F39" s="2">
        <f>AVERAGE(Table56[Service Stack]) - F38</f>
        <v>44822.666666666664</v>
      </c>
      <c r="G39" s="2">
        <f>AVERAGE(Table56[Jil]) - G38</f>
        <v>70017.333333333343</v>
      </c>
      <c r="H39" s="2">
        <f>AVERAGE(Table56[NetJSON]) - H38</f>
        <v>47567.333333333336</v>
      </c>
      <c r="I39" s="2">
        <f>AVERAGE(Table56[Jackson]) - I38</f>
        <v>13196.999999999996</v>
      </c>
      <c r="J39" s="2">
        <f>AVERAGE(Table56[DSL-JSON]) - J38</f>
        <v>3919</v>
      </c>
      <c r="K39" s="2">
        <f>AVERAGE(Table56[Kryo (binary reference)]) - K38</f>
        <v>4382.3333333333321</v>
      </c>
      <c r="L39" s="2">
        <f>AVERAGE(Table56[Boon]) - L38</f>
        <v>42281.666666666664</v>
      </c>
      <c r="M39" s="5">
        <f>AVERAGE(Table56[Alibaba]) - M38</f>
        <v>41569.666666666672</v>
      </c>
      <c r="N39" s="2">
        <f>AVERAGE(Table56[Gson]) - N38</f>
        <v>59064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117716.33333333331</v>
      </c>
      <c r="D40" s="2">
        <f t="shared" si="0"/>
        <v>36223.666666666664</v>
      </c>
      <c r="E40" s="2">
        <f t="shared" ref="E40" si="1">E41 - E39 - E38</f>
        <v>33233.333333333336</v>
      </c>
      <c r="F40" s="2">
        <f t="shared" si="0"/>
        <v>190471</v>
      </c>
      <c r="G40" s="2">
        <f t="shared" si="0"/>
        <v>49923.666666666664</v>
      </c>
      <c r="H40" s="2">
        <f t="shared" si="0"/>
        <v>121975.66666666666</v>
      </c>
      <c r="I40" s="2">
        <f t="shared" ref="I40" si="2">I41 - I39 - I38</f>
        <v>29201.333333333332</v>
      </c>
      <c r="J40" s="2">
        <f t="shared" ref="J40" si="3">J41 - J39 - J38</f>
        <v>5017</v>
      </c>
      <c r="K40" s="2">
        <f t="shared" ref="K40:L40" si="4">K41 - K39 - K38</f>
        <v>4040.6666666666679</v>
      </c>
      <c r="L40" s="2" t="e">
        <f t="shared" si="4"/>
        <v>#DIV/0!</v>
      </c>
      <c r="M40" s="2">
        <f t="shared" ref="M40" si="5">M41 - M39 - M38</f>
        <v>40548</v>
      </c>
      <c r="N40" s="2">
        <f t="shared" ref="N40" si="6">N41 - N39 - N38</f>
        <v>54358.666666666672</v>
      </c>
      <c r="O40" s="2"/>
      <c r="P40" s="2"/>
      <c r="Q40" s="2"/>
    </row>
    <row r="41" spans="2:17" x14ac:dyDescent="0.25">
      <c r="B41" t="s">
        <v>23</v>
      </c>
      <c r="C41" s="2">
        <f>AVERAGE(Table58[Newtonsoft])</f>
        <v>209409</v>
      </c>
      <c r="D41" s="2">
        <f>AVERAGE(Table58[Revenj])</f>
        <v>91574</v>
      </c>
      <c r="E41" s="2">
        <f>AVERAGE(Table58[ProtoBuf (binary reference)])</f>
        <v>86149.666666666672</v>
      </c>
      <c r="F41" s="2">
        <f>AVERAGE(Table58[Service Stack])</f>
        <v>269714</v>
      </c>
      <c r="G41" s="2">
        <f>AVERAGE(Table58[Jil])</f>
        <v>154616.33333333334</v>
      </c>
      <c r="H41" s="2">
        <f>AVERAGE(Table58[NetJSON])</f>
        <v>204616.33333333334</v>
      </c>
      <c r="I41" s="2">
        <f>AVERAGE(Table58[Jackson])</f>
        <v>66291</v>
      </c>
      <c r="J41" s="2">
        <f>AVERAGE(Table58[DSL-JSON])</f>
        <v>32292.666666666668</v>
      </c>
      <c r="K41" s="2">
        <f>AVERAGE(Table58[Kryo (binary reference)])</f>
        <v>31678</v>
      </c>
      <c r="L41" s="2" t="e">
        <f>AVERAGE(Table58[Boon])</f>
        <v>#DIV/0!</v>
      </c>
      <c r="M41" s="5">
        <f>AVERAGE(Table58[Alibaba])</f>
        <v>106134</v>
      </c>
      <c r="N41" s="2">
        <f>AVERAGE(Table58[Gson])</f>
        <v>136732</v>
      </c>
      <c r="O41" s="2"/>
      <c r="P41" s="2"/>
      <c r="Q41" s="2"/>
    </row>
    <row r="42" spans="2:17" x14ac:dyDescent="0.25">
      <c r="B42" t="s">
        <v>4</v>
      </c>
      <c r="C42" s="3">
        <f>AVERAGE(Table56[Newtonsoft (size)])</f>
        <v>1213888890</v>
      </c>
      <c r="D42" s="3">
        <f>AVERAGE(Table56[Revenj (size)])</f>
        <v>1038888890</v>
      </c>
      <c r="E42" s="3">
        <f>AVERAGE(Table56[ProtoBuf (size)])</f>
        <v>468888890</v>
      </c>
      <c r="F42" s="3">
        <f>AVERAGE(Table56[Service Stack (size)])</f>
        <v>1203888890</v>
      </c>
      <c r="G42" s="2">
        <f>AVERAGE(Table56[Jil (size)])</f>
        <v>1213888890</v>
      </c>
      <c r="H42" s="2">
        <f>AVERAGE(Table56[NetJSON (size)])</f>
        <v>1148888890</v>
      </c>
      <c r="I42" s="2">
        <f>AVERAGE(Table56[Jackson (size)])</f>
        <v>1113888890</v>
      </c>
      <c r="J42" s="2">
        <f>AVERAGE(Table56[DSL-JSON (size)])</f>
        <v>1038888890</v>
      </c>
      <c r="K42" s="2">
        <f>AVERAGE(Table56[Kryo (size)])</f>
        <v>408888890</v>
      </c>
      <c r="L42" s="2">
        <f>AVERAGE(Table56[Boon (size)])</f>
        <v>918888890</v>
      </c>
      <c r="M42" s="5">
        <f>AVERAGE(Table56[Alibaba (size)])</f>
        <v>1113888890</v>
      </c>
      <c r="N42" s="2">
        <f>AVERAGE(Table56[Gson (size)])</f>
        <v>1113888890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DEVSQ(Table56[Newtonsoft])</f>
        <v>6753570.666666666</v>
      </c>
      <c r="D47" s="2">
        <f>DEVSQ(Table56[Revenj])</f>
        <v>2110960.666666667</v>
      </c>
      <c r="E47" s="2">
        <f>DEVSQ(Table56[ProtoBuf (binary reference)])</f>
        <v>1168760.6666666665</v>
      </c>
      <c r="F47" s="2">
        <f>DEVSQ(Table56[Service Stack])</f>
        <v>631814</v>
      </c>
      <c r="G47" s="2">
        <f>DEVSQ(Table56[Jil])</f>
        <v>4423260.666666667</v>
      </c>
      <c r="H47" s="2">
        <f>DEVSQ(Table56[NetJSON])</f>
        <v>6768084.666666667</v>
      </c>
      <c r="I47" s="2">
        <f>DEVSQ(Table56[Jackson])</f>
        <v>1591520.6666666665</v>
      </c>
      <c r="J47" s="2">
        <f>DEVSQ(Table56[DSL-JSON])</f>
        <v>563762.66666666674</v>
      </c>
      <c r="K47" s="2">
        <f>DEVSQ(Table56[Kryo (binary reference)])</f>
        <v>159232.66666666669</v>
      </c>
      <c r="L47" s="2">
        <f>DEVSQ(Table56[Boon])</f>
        <v>7610104.666666666</v>
      </c>
      <c r="M47" s="2">
        <f>DEVSQ(Table56[Alibaba])</f>
        <v>569816</v>
      </c>
      <c r="N47" s="2">
        <f>DEVSQ(Table56[Gson])</f>
        <v>7018672.666666666</v>
      </c>
      <c r="O47" s="2"/>
      <c r="P47" s="2"/>
      <c r="Q47" s="2"/>
    </row>
    <row r="48" spans="2:17" x14ac:dyDescent="0.25">
      <c r="B48" t="s">
        <v>23</v>
      </c>
      <c r="C48" s="2">
        <f>DEVSQ(Table58[Newtonsoft])</f>
        <v>13233474</v>
      </c>
      <c r="D48" s="2">
        <f>DEVSQ(Table58[Revenj])</f>
        <v>2005794</v>
      </c>
      <c r="E48" s="2">
        <f>DEVSQ(Table58[ProtoBuf (binary reference)])</f>
        <v>1738732.6666666665</v>
      </c>
      <c r="F48" s="2">
        <f>DEVSQ(Table58[Service Stack])</f>
        <v>5782122</v>
      </c>
      <c r="G48" s="2">
        <f>DEVSQ(Table58[Jil])</f>
        <v>3861514.666666667</v>
      </c>
      <c r="H48" s="2">
        <f>DEVSQ(Table58[NetJSON])</f>
        <v>978752.66666666674</v>
      </c>
      <c r="I48" s="2">
        <f>DEVSQ(Table58[Jackson])</f>
        <v>1207094</v>
      </c>
      <c r="J48" s="2">
        <f>DEVSQ(Table58[DSL-JSON])</f>
        <v>2694004.6666666665</v>
      </c>
      <c r="K48" s="2">
        <f>DEVSQ(Table58[Kryo (binary reference)])</f>
        <v>92408</v>
      </c>
      <c r="L48" s="2" t="e">
        <f>DEVSQ(Table58[Boon])</f>
        <v>#NUM!</v>
      </c>
      <c r="M48" s="2">
        <f>DEVSQ(Table58[Alibaba])</f>
        <v>1806122</v>
      </c>
      <c r="N48" s="2">
        <f>DEVSQ(Table58[Gson])</f>
        <v>1712714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33172</v>
      </c>
      <c r="C52">
        <v>34666</v>
      </c>
      <c r="D52">
        <v>34077</v>
      </c>
      <c r="E52">
        <v>34394</v>
      </c>
      <c r="F52">
        <v>33868</v>
      </c>
      <c r="G52">
        <v>34272</v>
      </c>
      <c r="H52">
        <v>24048</v>
      </c>
      <c r="I52">
        <v>23784</v>
      </c>
      <c r="J52">
        <v>23086</v>
      </c>
      <c r="K52">
        <v>22804</v>
      </c>
      <c r="L52">
        <v>23866</v>
      </c>
      <c r="M52">
        <v>23152</v>
      </c>
    </row>
    <row r="53" spans="2:25" x14ac:dyDescent="0.25">
      <c r="B53">
        <v>33605</v>
      </c>
      <c r="C53">
        <v>34069</v>
      </c>
      <c r="D53">
        <v>34222</v>
      </c>
      <c r="E53">
        <v>34913</v>
      </c>
      <c r="F53">
        <v>35996</v>
      </c>
      <c r="G53">
        <v>34233</v>
      </c>
      <c r="H53">
        <v>24036</v>
      </c>
      <c r="I53">
        <v>23209</v>
      </c>
      <c r="J53">
        <v>23806</v>
      </c>
      <c r="K53">
        <v>23692</v>
      </c>
      <c r="L53">
        <v>24941</v>
      </c>
      <c r="M53">
        <v>23266</v>
      </c>
    </row>
    <row r="54" spans="2:25" x14ac:dyDescent="0.25">
      <c r="B54">
        <v>33133</v>
      </c>
      <c r="C54">
        <v>33407</v>
      </c>
      <c r="D54">
        <v>32836</v>
      </c>
      <c r="E54">
        <v>33954</v>
      </c>
      <c r="F54">
        <v>34162</v>
      </c>
      <c r="G54">
        <v>36715</v>
      </c>
      <c r="H54">
        <v>23594</v>
      </c>
      <c r="I54">
        <v>23077</v>
      </c>
      <c r="J54">
        <v>22873</v>
      </c>
      <c r="K54">
        <v>23236</v>
      </c>
      <c r="L54">
        <v>23242</v>
      </c>
      <c r="M54">
        <v>23510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90454</v>
      </c>
      <c r="C58">
        <v>54660</v>
      </c>
      <c r="D58">
        <v>52065</v>
      </c>
      <c r="E58">
        <v>79570</v>
      </c>
      <c r="F58">
        <v>106315</v>
      </c>
      <c r="G58">
        <v>82017</v>
      </c>
      <c r="H58">
        <v>37976</v>
      </c>
      <c r="I58">
        <v>27367</v>
      </c>
      <c r="J58">
        <v>27741</v>
      </c>
      <c r="K58">
        <v>63274</v>
      </c>
      <c r="L58">
        <v>66040</v>
      </c>
      <c r="M58">
        <v>81481</v>
      </c>
      <c r="N58">
        <v>1213888890</v>
      </c>
      <c r="O58">
        <v>1038888890</v>
      </c>
      <c r="P58">
        <v>468888890</v>
      </c>
      <c r="Q58">
        <v>1203888890</v>
      </c>
      <c r="R58">
        <v>1213888890</v>
      </c>
      <c r="S58">
        <v>1148888890</v>
      </c>
      <c r="T58">
        <v>1113888890</v>
      </c>
      <c r="U58">
        <v>1038888890</v>
      </c>
      <c r="V58">
        <v>408888890</v>
      </c>
      <c r="W58">
        <v>918888890</v>
      </c>
      <c r="X58">
        <v>1113888890</v>
      </c>
      <c r="Y58">
        <v>1113888890</v>
      </c>
    </row>
    <row r="59" spans="2:25" x14ac:dyDescent="0.25">
      <c r="B59">
        <v>90820</v>
      </c>
      <c r="C59">
        <v>56531</v>
      </c>
      <c r="D59">
        <v>53544</v>
      </c>
      <c r="E59">
        <v>78594</v>
      </c>
      <c r="F59">
        <v>104369</v>
      </c>
      <c r="G59">
        <v>81194</v>
      </c>
      <c r="H59">
        <v>37101</v>
      </c>
      <c r="I59">
        <v>26705</v>
      </c>
      <c r="J59">
        <v>27318</v>
      </c>
      <c r="K59">
        <v>66702</v>
      </c>
      <c r="L59">
        <v>64998</v>
      </c>
      <c r="M59">
        <v>84526</v>
      </c>
      <c r="N59">
        <v>1213888890</v>
      </c>
      <c r="O59">
        <v>1038888890</v>
      </c>
      <c r="P59">
        <v>468888890</v>
      </c>
      <c r="Q59">
        <v>1203888890</v>
      </c>
      <c r="R59">
        <v>1213888890</v>
      </c>
      <c r="S59">
        <v>1148888890</v>
      </c>
      <c r="T59">
        <v>1113888890</v>
      </c>
      <c r="U59">
        <v>1038888890</v>
      </c>
      <c r="V59">
        <v>408888890</v>
      </c>
      <c r="W59">
        <v>918888890</v>
      </c>
      <c r="X59">
        <v>1113888890</v>
      </c>
      <c r="Y59">
        <v>1113888890</v>
      </c>
    </row>
    <row r="60" spans="2:25" x14ac:dyDescent="0.25">
      <c r="B60">
        <v>93804</v>
      </c>
      <c r="C60">
        <v>54860</v>
      </c>
      <c r="D60">
        <v>53140</v>
      </c>
      <c r="E60">
        <v>79565</v>
      </c>
      <c r="F60">
        <v>103394</v>
      </c>
      <c r="G60">
        <v>84711</v>
      </c>
      <c r="H60">
        <v>36192</v>
      </c>
      <c r="I60">
        <v>27755</v>
      </c>
      <c r="J60">
        <v>27853</v>
      </c>
      <c r="K60">
        <v>66601</v>
      </c>
      <c r="L60">
        <v>65720</v>
      </c>
      <c r="M60">
        <v>81113</v>
      </c>
      <c r="N60">
        <v>1213888890</v>
      </c>
      <c r="O60">
        <v>1038888890</v>
      </c>
      <c r="P60">
        <v>468888890</v>
      </c>
      <c r="Q60">
        <v>1203888890</v>
      </c>
      <c r="R60">
        <v>1213888890</v>
      </c>
      <c r="S60">
        <v>1148888890</v>
      </c>
      <c r="T60">
        <v>1113888890</v>
      </c>
      <c r="U60">
        <v>1038888890</v>
      </c>
      <c r="V60">
        <v>408888890</v>
      </c>
      <c r="W60">
        <v>918888890</v>
      </c>
      <c r="X60">
        <v>1113888890</v>
      </c>
      <c r="Y60">
        <v>1113888890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209913</v>
      </c>
      <c r="C64">
        <v>90422</v>
      </c>
      <c r="D64">
        <v>87192</v>
      </c>
      <c r="E64">
        <v>270038</v>
      </c>
      <c r="F64">
        <v>153151</v>
      </c>
      <c r="G64">
        <v>203940</v>
      </c>
      <c r="H64">
        <v>66105</v>
      </c>
      <c r="I64">
        <v>33583</v>
      </c>
      <c r="J64">
        <v>31440</v>
      </c>
      <c r="L64">
        <v>107175</v>
      </c>
      <c r="M64">
        <v>135719</v>
      </c>
    </row>
    <row r="65" spans="2:13" x14ac:dyDescent="0.25">
      <c r="B65">
        <v>211692</v>
      </c>
      <c r="C65">
        <v>92237</v>
      </c>
      <c r="D65">
        <v>85395</v>
      </c>
      <c r="E65">
        <v>271229</v>
      </c>
      <c r="F65">
        <v>154783</v>
      </c>
      <c r="G65">
        <v>204572</v>
      </c>
      <c r="H65">
        <v>67144</v>
      </c>
      <c r="I65">
        <v>31334</v>
      </c>
      <c r="J65">
        <v>31736</v>
      </c>
      <c r="L65">
        <v>105914</v>
      </c>
      <c r="M65">
        <v>137533</v>
      </c>
    </row>
    <row r="66" spans="2:13" x14ac:dyDescent="0.25">
      <c r="B66">
        <v>206622</v>
      </c>
      <c r="C66">
        <v>92063</v>
      </c>
      <c r="D66">
        <v>85862</v>
      </c>
      <c r="E66">
        <v>267875</v>
      </c>
      <c r="F66">
        <v>155915</v>
      </c>
      <c r="G66">
        <v>205337</v>
      </c>
      <c r="H66">
        <v>65624</v>
      </c>
      <c r="I66">
        <v>31961</v>
      </c>
      <c r="J66">
        <v>31858</v>
      </c>
      <c r="L66">
        <v>105313</v>
      </c>
      <c r="M66">
        <v>136944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46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AVERAGE(Table62[Newtonsoft])</f>
        <v>269.66666666666669</v>
      </c>
      <c r="D38" s="2">
        <f>AVERAGE(Table62[Revenj])</f>
        <v>270.33333333333331</v>
      </c>
      <c r="E38" s="2">
        <f>AVERAGE(Table62[ProtoBuf (binary reference)])</f>
        <v>271.33333333333331</v>
      </c>
      <c r="F38" s="2">
        <f>AVERAGE(Table62[Service Stack])</f>
        <v>269.33333333333331</v>
      </c>
      <c r="G38" s="2">
        <f>AVERAGE(Table62[Jil])</f>
        <v>269.66666666666669</v>
      </c>
      <c r="H38" s="2">
        <f>AVERAGE(Table62[NetJSON])</f>
        <v>262.66666666666669</v>
      </c>
      <c r="I38" s="2">
        <f>AVERAGE(Table62[Jackson])</f>
        <v>36.666666666666664</v>
      </c>
      <c r="J38" s="2">
        <f>AVERAGE(Table62[DSL-JSON])</f>
        <v>34</v>
      </c>
      <c r="K38" s="2">
        <f>AVERAGE(Table62[Kryo (binary reference)])</f>
        <v>35.666666666666664</v>
      </c>
      <c r="L38" s="2" t="e">
        <f>AVERAGE(Table62[Boon])</f>
        <v>#DIV/0!</v>
      </c>
      <c r="M38" s="2">
        <f>AVERAGE(Table62[Alibaba])</f>
        <v>36.333333333333336</v>
      </c>
      <c r="N38" s="2">
        <f>AVERAGE(Table62[Gson])</f>
        <v>34</v>
      </c>
      <c r="O38" s="2"/>
      <c r="P38" s="2"/>
      <c r="Q38" s="2"/>
    </row>
    <row r="39" spans="2:17" x14ac:dyDescent="0.25">
      <c r="B39" t="s">
        <v>0</v>
      </c>
      <c r="C39" s="2">
        <f>AVERAGE(Table61[Newtonsoft]) - C38</f>
        <v>185.66666666666663</v>
      </c>
      <c r="D39" s="2">
        <f>AVERAGE(Table61[Revenj]) - D38</f>
        <v>51.333333333333371</v>
      </c>
      <c r="E39" s="2">
        <f>AVERAGE(Table61[ProtoBuf (binary reference)]) - E38</f>
        <v>64.666666666666686</v>
      </c>
      <c r="F39" s="2">
        <f>AVERAGE(Table61[Service Stack]) - F38</f>
        <v>223.33333333333337</v>
      </c>
      <c r="G39" s="2">
        <f>AVERAGE(Table61[Jil]) - G38</f>
        <v>346.33333333333331</v>
      </c>
      <c r="H39" s="2">
        <f>AVERAGE(Table61[NetJSON]) - H38</f>
        <v>103.33333333333331</v>
      </c>
      <c r="I39" s="2">
        <f>AVERAGE(Table61[Jackson]) - I38</f>
        <v>248.33333333333334</v>
      </c>
      <c r="J39" s="2">
        <f>AVERAGE(Table61[DSL-JSON]) - J38</f>
        <v>51.333333333333329</v>
      </c>
      <c r="K39" s="2">
        <f>AVERAGE(Table61[Kryo (binary reference)]) - K38</f>
        <v>82.333333333333343</v>
      </c>
      <c r="L39" s="2" t="e">
        <f>AVERAGE(Table61[Boon]) - L38</f>
        <v>#DIV/0!</v>
      </c>
      <c r="M39" s="2">
        <f>AVERAGE(Table61[Alibaba]) - M38</f>
        <v>284.66666666666669</v>
      </c>
      <c r="N39" s="2">
        <f>AVERAGE(Table61[Gson]) - N38</f>
        <v>319.33333333333331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188.66666666666669</v>
      </c>
      <c r="D40" s="2">
        <f t="shared" si="0"/>
        <v>120.66666666666663</v>
      </c>
      <c r="E40" s="2">
        <f t="shared" ref="E40" si="1">E41 - E39 - E38</f>
        <v>38</v>
      </c>
      <c r="F40" s="2">
        <f t="shared" si="0"/>
        <v>335.33333333333331</v>
      </c>
      <c r="G40" s="2">
        <f t="shared" si="0"/>
        <v>228.66666666666663</v>
      </c>
      <c r="H40" s="2">
        <f t="shared" si="0"/>
        <v>148.33333333333337</v>
      </c>
      <c r="I40" s="2">
        <f t="shared" ref="I40" si="2">I41 - I39 - I38</f>
        <v>391.33333333333331</v>
      </c>
      <c r="J40" s="2">
        <f t="shared" ref="J40" si="3">J41 - J39 - J38</f>
        <v>77.000000000000014</v>
      </c>
      <c r="K40" s="2">
        <f t="shared" ref="K40:L40" si="4">K41 - K39 - K38</f>
        <v>74</v>
      </c>
      <c r="L40" s="2" t="e">
        <f t="shared" si="4"/>
        <v>#DIV/0!</v>
      </c>
      <c r="M40" s="2">
        <f t="shared" ref="M40" si="5">M41 - M39 - M38</f>
        <v>336</v>
      </c>
      <c r="N40" s="2">
        <f t="shared" ref="N40" si="6">N41 - N39 - N38</f>
        <v>316.33333333333331</v>
      </c>
      <c r="O40" s="2"/>
      <c r="P40" s="2"/>
      <c r="Q40" s="2"/>
    </row>
    <row r="41" spans="2:17" x14ac:dyDescent="0.25">
      <c r="B41" t="s">
        <v>23</v>
      </c>
      <c r="C41" s="2">
        <f>AVERAGE(Table63[Newtonsoft])</f>
        <v>644</v>
      </c>
      <c r="D41" s="2">
        <f>AVERAGE(Table63[Revenj])</f>
        <v>442.33333333333331</v>
      </c>
      <c r="E41" s="2">
        <f>AVERAGE(Table63[ProtoBuf (binary reference)])</f>
        <v>374</v>
      </c>
      <c r="F41" s="2">
        <f>AVERAGE(Table63[Service Stack])</f>
        <v>828</v>
      </c>
      <c r="G41" s="2">
        <f>AVERAGE(Table63[Jil])</f>
        <v>844.66666666666663</v>
      </c>
      <c r="H41" s="2">
        <f>AVERAGE(Table63[NetJSON])</f>
        <v>514.33333333333337</v>
      </c>
      <c r="I41" s="2">
        <f>AVERAGE(Table63[Jackson])</f>
        <v>676.33333333333337</v>
      </c>
      <c r="J41" s="2">
        <f>AVERAGE(Table63[DSL-JSON])</f>
        <v>162.33333333333334</v>
      </c>
      <c r="K41" s="2">
        <f>AVERAGE(Table63[Kryo (binary reference)])</f>
        <v>192</v>
      </c>
      <c r="L41" s="2" t="e">
        <f>AVERAGE(Table63[Boon])</f>
        <v>#DIV/0!</v>
      </c>
      <c r="M41" s="2">
        <f>AVERAGE(Table63[Alibaba])</f>
        <v>657</v>
      </c>
      <c r="N41" s="2">
        <f>AVERAGE(Table63[Gson])</f>
        <v>669.66666666666663</v>
      </c>
      <c r="O41" s="2"/>
      <c r="P41" s="2"/>
      <c r="Q41" s="2"/>
    </row>
    <row r="42" spans="2:17" x14ac:dyDescent="0.25">
      <c r="B42" t="s">
        <v>4</v>
      </c>
      <c r="C42" s="3">
        <f>AVERAGE(Table61[Newtonsoft (size)])</f>
        <v>2224454</v>
      </c>
      <c r="D42" s="3">
        <f>AVERAGE(Table61[Revenj (size)])</f>
        <v>1802584</v>
      </c>
      <c r="E42" s="3">
        <f>AVERAGE(Table61[ProtoBuf (size)])</f>
        <v>704000</v>
      </c>
      <c r="F42" s="3">
        <f>AVERAGE(Table61[Service Stack (size)])</f>
        <v>1740659</v>
      </c>
      <c r="G42" s="2">
        <f>AVERAGE(Table61[Jil (size)])</f>
        <v>2249785</v>
      </c>
      <c r="H42" s="2">
        <f>AVERAGE(Table61[NetJSON (size)])</f>
        <v>1788584</v>
      </c>
      <c r="I42" s="2">
        <f>AVERAGE(Table61[Jackson (size)])</f>
        <v>1763995</v>
      </c>
      <c r="J42" s="2">
        <f>AVERAGE(Table61[DSL-JSON (size)])</f>
        <v>1762584</v>
      </c>
      <c r="K42" s="2">
        <f>AVERAGE(Table61[Kryo (size)])</f>
        <v>654855</v>
      </c>
      <c r="L42" s="2" t="e">
        <f>AVERAGE(Table61[Boon (size)])</f>
        <v>#DIV/0!</v>
      </c>
      <c r="M42" s="2">
        <f>AVERAGE(Table61[Alibaba (size)])</f>
        <v>1763995</v>
      </c>
      <c r="N42" s="2">
        <f>AVERAGE(Table61[Gson (size)])</f>
        <v>1763995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DEVSQ(Table61[Newtonsoft])</f>
        <v>16.666666666666664</v>
      </c>
      <c r="D47" s="2">
        <f>DEVSQ(Table61[Revenj])</f>
        <v>2.666666666666667</v>
      </c>
      <c r="E47" s="2">
        <f>DEVSQ(Table61[ProtoBuf (binary reference)])</f>
        <v>2</v>
      </c>
      <c r="F47" s="2">
        <f>DEVSQ(Table61[Service Stack])</f>
        <v>4.6666666666666661</v>
      </c>
      <c r="G47" s="2">
        <f>DEVSQ(Table61[Jil])</f>
        <v>8</v>
      </c>
      <c r="H47" s="2">
        <f>DEVSQ(Table61[NetJSON])</f>
        <v>0</v>
      </c>
      <c r="I47" s="2">
        <f>DEVSQ(Table61[Jackson])</f>
        <v>14</v>
      </c>
      <c r="J47" s="2">
        <f>DEVSQ(Table61[DSL-JSON])</f>
        <v>16.666666666666664</v>
      </c>
      <c r="K47" s="2">
        <f>DEVSQ(Table61[Kryo (binary reference)])</f>
        <v>14</v>
      </c>
      <c r="L47" s="2" t="e">
        <f>DEVSQ(Table61[Boon])</f>
        <v>#NUM!</v>
      </c>
      <c r="M47" s="2">
        <f>DEVSQ(Table61[Alibaba])</f>
        <v>42</v>
      </c>
      <c r="N47" s="2">
        <f>DEVSQ(Table61[Gson])</f>
        <v>104.66666666666667</v>
      </c>
      <c r="O47" s="2"/>
      <c r="P47" s="2"/>
      <c r="Q47" s="2"/>
    </row>
    <row r="48" spans="2:17" x14ac:dyDescent="0.25">
      <c r="B48" t="s">
        <v>23</v>
      </c>
      <c r="C48" s="2">
        <f>DEVSQ(Table63[Newtonsoft])</f>
        <v>14</v>
      </c>
      <c r="D48" s="2">
        <f>DEVSQ(Table63[Revenj])</f>
        <v>4.6666666666666661</v>
      </c>
      <c r="E48" s="2">
        <f>DEVSQ(Table63[ProtoBuf (binary reference)])</f>
        <v>6</v>
      </c>
      <c r="F48" s="2">
        <f>DEVSQ(Table63[Service Stack])</f>
        <v>14</v>
      </c>
      <c r="G48" s="2">
        <f>DEVSQ(Table63[Jil])</f>
        <v>10.666666666666668</v>
      </c>
      <c r="H48" s="2">
        <f>DEVSQ(Table63[NetJSON])</f>
        <v>4.666666666666667</v>
      </c>
      <c r="I48" s="2">
        <f>DEVSQ(Table63[Jackson])</f>
        <v>20.666666666666664</v>
      </c>
      <c r="J48" s="2">
        <f>DEVSQ(Table63[DSL-JSON])</f>
        <v>50.666666666666664</v>
      </c>
      <c r="K48" s="2">
        <f>DEVSQ(Table63[Kryo (binary reference)])</f>
        <v>14</v>
      </c>
      <c r="L48" s="2" t="e">
        <f>DEVSQ(Table63[Boon])</f>
        <v>#NUM!</v>
      </c>
      <c r="M48" s="2">
        <f>DEVSQ(Table63[Alibaba])</f>
        <v>494</v>
      </c>
      <c r="N48" s="2">
        <f>DEVSQ(Table63[Gson])</f>
        <v>580.66666666666674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269</v>
      </c>
      <c r="C52">
        <v>270</v>
      </c>
      <c r="D52">
        <v>272</v>
      </c>
      <c r="E52">
        <v>269</v>
      </c>
      <c r="F52">
        <v>270</v>
      </c>
      <c r="G52">
        <v>264</v>
      </c>
      <c r="H52">
        <v>38</v>
      </c>
      <c r="I52">
        <v>34</v>
      </c>
      <c r="J52">
        <v>37</v>
      </c>
      <c r="L52">
        <v>36</v>
      </c>
      <c r="M52">
        <v>33</v>
      </c>
    </row>
    <row r="53" spans="2:25" x14ac:dyDescent="0.25">
      <c r="B53">
        <v>271</v>
      </c>
      <c r="C53">
        <v>270</v>
      </c>
      <c r="D53">
        <v>272</v>
      </c>
      <c r="E53">
        <v>269</v>
      </c>
      <c r="F53">
        <v>271</v>
      </c>
      <c r="G53">
        <v>262</v>
      </c>
      <c r="H53">
        <v>34</v>
      </c>
      <c r="I53">
        <v>35</v>
      </c>
      <c r="J53">
        <v>32</v>
      </c>
      <c r="L53">
        <v>36</v>
      </c>
      <c r="M53">
        <v>34</v>
      </c>
    </row>
    <row r="54" spans="2:25" x14ac:dyDescent="0.25">
      <c r="B54">
        <v>269</v>
      </c>
      <c r="C54">
        <v>271</v>
      </c>
      <c r="D54">
        <v>270</v>
      </c>
      <c r="E54">
        <v>270</v>
      </c>
      <c r="F54">
        <v>268</v>
      </c>
      <c r="G54">
        <v>262</v>
      </c>
      <c r="H54">
        <v>38</v>
      </c>
      <c r="I54">
        <v>33</v>
      </c>
      <c r="J54">
        <v>38</v>
      </c>
      <c r="L54">
        <v>37</v>
      </c>
      <c r="M54">
        <v>35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452</v>
      </c>
      <c r="C58">
        <v>323</v>
      </c>
      <c r="D58">
        <v>337</v>
      </c>
      <c r="E58">
        <v>491</v>
      </c>
      <c r="F58">
        <v>618</v>
      </c>
      <c r="G58">
        <v>366</v>
      </c>
      <c r="H58">
        <v>284</v>
      </c>
      <c r="I58">
        <v>87</v>
      </c>
      <c r="J58">
        <v>115</v>
      </c>
      <c r="L58">
        <v>316</v>
      </c>
      <c r="M58">
        <v>345</v>
      </c>
      <c r="N58">
        <v>2224454</v>
      </c>
      <c r="O58">
        <v>1802584</v>
      </c>
      <c r="P58">
        <v>704000</v>
      </c>
      <c r="Q58">
        <v>1740659</v>
      </c>
      <c r="R58">
        <v>2249785</v>
      </c>
      <c r="S58">
        <v>1788584</v>
      </c>
      <c r="T58">
        <v>1763995</v>
      </c>
      <c r="U58">
        <v>1762584</v>
      </c>
      <c r="V58">
        <v>654855</v>
      </c>
      <c r="X58">
        <v>1763995</v>
      </c>
      <c r="Y58">
        <v>1763995</v>
      </c>
    </row>
    <row r="59" spans="2:25" x14ac:dyDescent="0.25">
      <c r="B59">
        <v>457</v>
      </c>
      <c r="C59">
        <v>321</v>
      </c>
      <c r="D59">
        <v>336</v>
      </c>
      <c r="E59">
        <v>494</v>
      </c>
      <c r="F59">
        <v>614</v>
      </c>
      <c r="G59">
        <v>366</v>
      </c>
      <c r="H59">
        <v>283</v>
      </c>
      <c r="I59">
        <v>82</v>
      </c>
      <c r="J59">
        <v>119</v>
      </c>
      <c r="L59">
        <v>325</v>
      </c>
      <c r="M59">
        <v>357</v>
      </c>
      <c r="N59">
        <v>2224454</v>
      </c>
      <c r="O59">
        <v>1802584</v>
      </c>
      <c r="P59">
        <v>704000</v>
      </c>
      <c r="Q59">
        <v>1740659</v>
      </c>
      <c r="R59">
        <v>2249785</v>
      </c>
      <c r="S59">
        <v>1788584</v>
      </c>
      <c r="T59">
        <v>1763995</v>
      </c>
      <c r="U59">
        <v>1762584</v>
      </c>
      <c r="V59">
        <v>654855</v>
      </c>
      <c r="X59">
        <v>1763995</v>
      </c>
      <c r="Y59">
        <v>1763995</v>
      </c>
    </row>
    <row r="60" spans="2:25" x14ac:dyDescent="0.25">
      <c r="B60">
        <v>457</v>
      </c>
      <c r="C60">
        <v>321</v>
      </c>
      <c r="D60">
        <v>335</v>
      </c>
      <c r="E60">
        <v>493</v>
      </c>
      <c r="F60">
        <v>616</v>
      </c>
      <c r="G60">
        <v>366</v>
      </c>
      <c r="H60">
        <v>288</v>
      </c>
      <c r="I60">
        <v>87</v>
      </c>
      <c r="J60">
        <v>120</v>
      </c>
      <c r="L60">
        <v>322</v>
      </c>
      <c r="M60">
        <v>358</v>
      </c>
      <c r="N60">
        <v>2224454</v>
      </c>
      <c r="O60">
        <v>1802584</v>
      </c>
      <c r="P60">
        <v>704000</v>
      </c>
      <c r="Q60">
        <v>1740659</v>
      </c>
      <c r="R60">
        <v>2249785</v>
      </c>
      <c r="S60">
        <v>1788584</v>
      </c>
      <c r="T60">
        <v>1763995</v>
      </c>
      <c r="U60">
        <v>1762584</v>
      </c>
      <c r="V60">
        <v>654855</v>
      </c>
      <c r="X60">
        <v>1763995</v>
      </c>
      <c r="Y60">
        <v>1763995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643</v>
      </c>
      <c r="C64">
        <v>441</v>
      </c>
      <c r="D64">
        <v>375</v>
      </c>
      <c r="E64">
        <v>826</v>
      </c>
      <c r="F64">
        <v>846</v>
      </c>
      <c r="G64">
        <v>516</v>
      </c>
      <c r="H64">
        <v>674</v>
      </c>
      <c r="I64">
        <v>157</v>
      </c>
      <c r="J64">
        <v>189</v>
      </c>
      <c r="L64">
        <v>660</v>
      </c>
      <c r="M64">
        <v>679</v>
      </c>
    </row>
    <row r="65" spans="2:13" x14ac:dyDescent="0.25">
      <c r="B65">
        <v>647</v>
      </c>
      <c r="C65">
        <v>444</v>
      </c>
      <c r="D65">
        <v>375</v>
      </c>
      <c r="E65">
        <v>827</v>
      </c>
      <c r="F65">
        <v>846</v>
      </c>
      <c r="G65">
        <v>514</v>
      </c>
      <c r="H65">
        <v>675</v>
      </c>
      <c r="I65">
        <v>167</v>
      </c>
      <c r="J65">
        <v>193</v>
      </c>
      <c r="L65">
        <v>671</v>
      </c>
      <c r="M65">
        <v>680</v>
      </c>
    </row>
    <row r="66" spans="2:13" x14ac:dyDescent="0.25">
      <c r="B66">
        <v>642</v>
      </c>
      <c r="C66">
        <v>442</v>
      </c>
      <c r="D66">
        <v>372</v>
      </c>
      <c r="E66">
        <v>831</v>
      </c>
      <c r="F66">
        <v>842</v>
      </c>
      <c r="G66">
        <v>513</v>
      </c>
      <c r="H66">
        <v>680</v>
      </c>
      <c r="I66">
        <v>163</v>
      </c>
      <c r="J66">
        <v>194</v>
      </c>
      <c r="L66">
        <v>640</v>
      </c>
      <c r="M66">
        <v>650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47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AVERAGE(Table67[Newtonsoft])</f>
        <v>387.33333333333331</v>
      </c>
      <c r="D38" s="2">
        <f>AVERAGE(Table67[Revenj])</f>
        <v>393</v>
      </c>
      <c r="E38" s="2">
        <f>AVERAGE(Table67[ProtoBuf (binary reference)])</f>
        <v>389.66666666666669</v>
      </c>
      <c r="F38" s="2">
        <f>AVERAGE(Table67[Service Stack])</f>
        <v>391</v>
      </c>
      <c r="G38" s="2">
        <f>AVERAGE(Table67[Jil])</f>
        <v>391</v>
      </c>
      <c r="H38" s="2">
        <f>AVERAGE(Table67[NetJSON])</f>
        <v>382</v>
      </c>
      <c r="I38" s="2">
        <f>AVERAGE(Table67[Jackson])</f>
        <v>75</v>
      </c>
      <c r="J38" s="2">
        <f>AVERAGE(Table67[DSL-JSON])</f>
        <v>70.666666666666671</v>
      </c>
      <c r="K38" s="2">
        <f>AVERAGE(Table67[Kryo (binary reference)])</f>
        <v>71.333333333333329</v>
      </c>
      <c r="L38" s="2" t="e">
        <f>AVERAGE(Table67[Boon])</f>
        <v>#DIV/0!</v>
      </c>
      <c r="M38" s="2">
        <f>AVERAGE(Table67[Alibaba])</f>
        <v>74.666666666666671</v>
      </c>
      <c r="N38" s="2">
        <f>AVERAGE(Table67[Gson])</f>
        <v>70.666666666666671</v>
      </c>
      <c r="O38" s="2"/>
      <c r="P38" s="2"/>
      <c r="Q38" s="2"/>
    </row>
    <row r="39" spans="2:17" x14ac:dyDescent="0.25">
      <c r="B39" t="s">
        <v>0</v>
      </c>
      <c r="C39" s="2">
        <f>AVERAGE(Table66[Newtonsoft]) - C38</f>
        <v>1108.6666666666667</v>
      </c>
      <c r="D39" s="2">
        <f>AVERAGE(Table66[Revenj]) - D38</f>
        <v>458.66666666666663</v>
      </c>
      <c r="E39" s="2">
        <f>AVERAGE(Table66[ProtoBuf (binary reference)]) - E38</f>
        <v>251.99999999999994</v>
      </c>
      <c r="F39" s="2">
        <f>AVERAGE(Table66[Service Stack]) - F38</f>
        <v>1004.3333333333333</v>
      </c>
      <c r="G39" s="2">
        <f>AVERAGE(Table66[Jil]) - G38</f>
        <v>1488</v>
      </c>
      <c r="H39" s="2">
        <f>AVERAGE(Table66[NetJSON]) - H38</f>
        <v>637.33333333333337</v>
      </c>
      <c r="I39" s="2">
        <f>AVERAGE(Table66[Jackson]) - I38</f>
        <v>573.33333333333337</v>
      </c>
      <c r="J39" s="2">
        <f>AVERAGE(Table66[DSL-JSON]) - J38</f>
        <v>155.66666666666669</v>
      </c>
      <c r="K39" s="2">
        <f>AVERAGE(Table66[Kryo (binary reference)]) - K38</f>
        <v>159.66666666666669</v>
      </c>
      <c r="L39" s="2" t="e">
        <f>AVERAGE(Table66[Boon]) - L38</f>
        <v>#DIV/0!</v>
      </c>
      <c r="M39" s="2">
        <f>AVERAGE(Table66[Alibaba]) - M38</f>
        <v>857.66666666666674</v>
      </c>
      <c r="N39" s="2">
        <f>AVERAGE(Table66[Gson]) - N38</f>
        <v>1317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1668.6666666666667</v>
      </c>
      <c r="D40" s="2">
        <f t="shared" si="0"/>
        <v>1079.3333333333335</v>
      </c>
      <c r="E40" s="2">
        <f t="shared" ref="E40" si="1">E41 - E39 - E38</f>
        <v>342.6666666666668</v>
      </c>
      <c r="F40" s="2">
        <f t="shared" si="0"/>
        <v>3113.666666666667</v>
      </c>
      <c r="G40" s="2">
        <f t="shared" si="0"/>
        <v>1052.6666666666665</v>
      </c>
      <c r="H40" s="2">
        <f t="shared" si="0"/>
        <v>1767.333333333333</v>
      </c>
      <c r="I40" s="2">
        <f t="shared" ref="I40" si="2">I41 - I39 - I38</f>
        <v>945.33333333333337</v>
      </c>
      <c r="J40" s="2">
        <f t="shared" ref="J40" si="3">J41 - J39 - J38</f>
        <v>284.66666666666663</v>
      </c>
      <c r="K40" s="2">
        <f t="shared" ref="K40:L40" si="4">K41 - K39 - K38</f>
        <v>171.66666666666669</v>
      </c>
      <c r="L40" s="2" t="e">
        <f t="shared" si="4"/>
        <v>#DIV/0!</v>
      </c>
      <c r="M40" s="2">
        <f t="shared" ref="M40" si="5">M41 - M39 - M38</f>
        <v>1281</v>
      </c>
      <c r="N40" s="2">
        <f t="shared" ref="N40" si="6">N41 - N39 - N38</f>
        <v>1263.3333333333333</v>
      </c>
      <c r="O40" s="2"/>
      <c r="P40" s="2"/>
      <c r="Q40" s="2"/>
    </row>
    <row r="41" spans="2:17" x14ac:dyDescent="0.25">
      <c r="B41" t="s">
        <v>23</v>
      </c>
      <c r="C41" s="2">
        <f>AVERAGE(Table68[Newtonsoft])</f>
        <v>3164.6666666666665</v>
      </c>
      <c r="D41" s="2">
        <f>AVERAGE(Table68[Revenj])</f>
        <v>1931</v>
      </c>
      <c r="E41" s="2">
        <f>AVERAGE(Table68[ProtoBuf (binary reference)])</f>
        <v>984.33333333333337</v>
      </c>
      <c r="F41" s="2">
        <f>AVERAGE(Table68[Service Stack])</f>
        <v>4509</v>
      </c>
      <c r="G41" s="2">
        <f>AVERAGE(Table68[Jil])</f>
        <v>2931.6666666666665</v>
      </c>
      <c r="H41" s="2">
        <f>AVERAGE(Table68[NetJSON])</f>
        <v>2786.6666666666665</v>
      </c>
      <c r="I41" s="2">
        <f>AVERAGE(Table68[Jackson])</f>
        <v>1593.6666666666667</v>
      </c>
      <c r="J41" s="2">
        <f>AVERAGE(Table68[DSL-JSON])</f>
        <v>511</v>
      </c>
      <c r="K41" s="2">
        <f>AVERAGE(Table68[Kryo (binary reference)])</f>
        <v>402.66666666666669</v>
      </c>
      <c r="L41" s="2" t="e">
        <f>AVERAGE(Table68[Boon])</f>
        <v>#DIV/0!</v>
      </c>
      <c r="M41" s="2">
        <f>AVERAGE(Table68[Alibaba])</f>
        <v>2213.3333333333335</v>
      </c>
      <c r="N41" s="2">
        <f>AVERAGE(Table68[Gson])</f>
        <v>2651</v>
      </c>
      <c r="O41" s="2"/>
      <c r="P41" s="2"/>
      <c r="Q41" s="2"/>
    </row>
    <row r="42" spans="2:17" x14ac:dyDescent="0.25">
      <c r="B42" t="s">
        <v>4</v>
      </c>
      <c r="C42" s="3">
        <f>AVERAGE(Table66[Newtonsoft (size)])</f>
        <v>23112667.666666668</v>
      </c>
      <c r="D42" s="3">
        <f>AVERAGE(Table66[Revenj (size)])</f>
        <v>18939843</v>
      </c>
      <c r="E42" s="3">
        <f>AVERAGE(Table66[ProtoBuf (size)])</f>
        <v>7506385</v>
      </c>
      <c r="F42" s="3">
        <f>AVERAGE(Table66[Service Stack (size)])</f>
        <v>18307918</v>
      </c>
      <c r="G42" s="2">
        <f>AVERAGE(Table66[Jil (size)])</f>
        <v>23399332</v>
      </c>
      <c r="H42" s="2">
        <f>AVERAGE(Table66[NetJSON (size)])</f>
        <v>18799843</v>
      </c>
      <c r="I42" s="2">
        <f>AVERAGE(Table66[Jackson (size)])</f>
        <v>18541254</v>
      </c>
      <c r="J42" s="2">
        <f>AVERAGE(Table66[DSL-JSON (size)])</f>
        <v>18539843</v>
      </c>
      <c r="K42" s="2">
        <f>AVERAGE(Table66[Kryo (size)])</f>
        <v>7091834</v>
      </c>
      <c r="L42" s="2" t="e">
        <f>AVERAGE(Table66[Boon (size)])</f>
        <v>#DIV/0!</v>
      </c>
      <c r="M42" s="2">
        <f>AVERAGE(Table66[Alibaba (size)])</f>
        <v>18541254</v>
      </c>
      <c r="N42" s="2">
        <f>AVERAGE(Table66[Gson (size)])</f>
        <v>18541254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DEVSQ(Table66[Newtonsoft])</f>
        <v>26</v>
      </c>
      <c r="D47" s="2">
        <f>DEVSQ(Table66[Revenj])</f>
        <v>544.66666666666674</v>
      </c>
      <c r="E47" s="2">
        <f>DEVSQ(Table66[ProtoBuf (binary reference)])</f>
        <v>44.666666666666664</v>
      </c>
      <c r="F47" s="2">
        <f>DEVSQ(Table66[Service Stack])</f>
        <v>620.66666666666674</v>
      </c>
      <c r="G47" s="2">
        <f>DEVSQ(Table66[Jil])</f>
        <v>78</v>
      </c>
      <c r="H47" s="2">
        <f>DEVSQ(Table66[NetJSON])</f>
        <v>116.66666666666669</v>
      </c>
      <c r="I47" s="2">
        <f>DEVSQ(Table66[Jackson])</f>
        <v>372.66666666666669</v>
      </c>
      <c r="J47" s="2">
        <f>DEVSQ(Table66[DSL-JSON])</f>
        <v>82.666666666666657</v>
      </c>
      <c r="K47" s="2">
        <f>DEVSQ(Table66[Kryo (binary reference)])</f>
        <v>56</v>
      </c>
      <c r="L47" s="2" t="e">
        <f>DEVSQ(Table66[Boon])</f>
        <v>#NUM!</v>
      </c>
      <c r="M47" s="2">
        <f>DEVSQ(Table66[Alibaba])</f>
        <v>340.66666666666669</v>
      </c>
      <c r="N47" s="2">
        <f>DEVSQ(Table66[Gson])</f>
        <v>240.66666666666666</v>
      </c>
      <c r="O47" s="2"/>
      <c r="P47" s="2"/>
      <c r="Q47" s="2"/>
    </row>
    <row r="48" spans="2:17" x14ac:dyDescent="0.25">
      <c r="B48" t="s">
        <v>23</v>
      </c>
      <c r="C48" s="2">
        <f>DEVSQ(Table68[Newtonsoft])</f>
        <v>672.66666666666663</v>
      </c>
      <c r="D48" s="2">
        <f>DEVSQ(Table68[Revenj])</f>
        <v>122</v>
      </c>
      <c r="E48" s="2">
        <f>DEVSQ(Table68[ProtoBuf (binary reference)])</f>
        <v>24.666666666666664</v>
      </c>
      <c r="F48" s="2">
        <f>DEVSQ(Table68[Service Stack])</f>
        <v>12384</v>
      </c>
      <c r="G48" s="2">
        <f>DEVSQ(Table68[Jil])</f>
        <v>1012.6666666666666</v>
      </c>
      <c r="H48" s="2">
        <f>DEVSQ(Table68[NetJSON])</f>
        <v>944.66666666666663</v>
      </c>
      <c r="I48" s="2">
        <f>DEVSQ(Table68[Jackson])</f>
        <v>1592.6666666666667</v>
      </c>
      <c r="J48" s="2">
        <f>DEVSQ(Table68[DSL-JSON])</f>
        <v>438</v>
      </c>
      <c r="K48" s="2">
        <f>DEVSQ(Table68[Kryo (binary reference)])</f>
        <v>24.666666666666668</v>
      </c>
      <c r="L48" s="2" t="e">
        <f>DEVSQ(Table68[Boon])</f>
        <v>#NUM!</v>
      </c>
      <c r="M48" s="2">
        <f>DEVSQ(Table68[Alibaba])</f>
        <v>548.66666666666663</v>
      </c>
      <c r="N48" s="2">
        <f>DEVSQ(Table68[Gson])</f>
        <v>4886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383</v>
      </c>
      <c r="C52">
        <v>394</v>
      </c>
      <c r="D52">
        <v>391</v>
      </c>
      <c r="E52">
        <v>393</v>
      </c>
      <c r="F52">
        <v>399</v>
      </c>
      <c r="G52">
        <v>387</v>
      </c>
      <c r="H52">
        <v>76</v>
      </c>
      <c r="I52">
        <v>68</v>
      </c>
      <c r="J52">
        <v>74</v>
      </c>
      <c r="L52">
        <v>76</v>
      </c>
      <c r="M52">
        <v>70</v>
      </c>
    </row>
    <row r="53" spans="2:25" x14ac:dyDescent="0.25">
      <c r="B53">
        <v>390</v>
      </c>
      <c r="C53">
        <v>395</v>
      </c>
      <c r="D53">
        <v>393</v>
      </c>
      <c r="E53">
        <v>391</v>
      </c>
      <c r="F53">
        <v>385</v>
      </c>
      <c r="G53">
        <v>383</v>
      </c>
      <c r="H53">
        <v>72</v>
      </c>
      <c r="I53">
        <v>73</v>
      </c>
      <c r="J53">
        <v>71</v>
      </c>
      <c r="L53">
        <v>75</v>
      </c>
      <c r="M53">
        <v>72</v>
      </c>
    </row>
    <row r="54" spans="2:25" x14ac:dyDescent="0.25">
      <c r="B54">
        <v>389</v>
      </c>
      <c r="C54">
        <v>390</v>
      </c>
      <c r="D54">
        <v>385</v>
      </c>
      <c r="E54">
        <v>389</v>
      </c>
      <c r="F54">
        <v>389</v>
      </c>
      <c r="G54">
        <v>376</v>
      </c>
      <c r="H54">
        <v>77</v>
      </c>
      <c r="I54">
        <v>71</v>
      </c>
      <c r="J54">
        <v>69</v>
      </c>
      <c r="L54">
        <v>73</v>
      </c>
      <c r="M54">
        <v>70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1500</v>
      </c>
      <c r="C58">
        <v>838</v>
      </c>
      <c r="D58">
        <v>638</v>
      </c>
      <c r="E58">
        <v>1415</v>
      </c>
      <c r="F58">
        <v>1884</v>
      </c>
      <c r="G58">
        <v>1021</v>
      </c>
      <c r="H58">
        <v>664</v>
      </c>
      <c r="I58">
        <v>219</v>
      </c>
      <c r="J58">
        <v>229</v>
      </c>
      <c r="L58">
        <v>920</v>
      </c>
      <c r="M58">
        <v>1400</v>
      </c>
      <c r="N58">
        <v>23146001</v>
      </c>
      <c r="O58">
        <v>18939843</v>
      </c>
      <c r="P58">
        <v>7506385</v>
      </c>
      <c r="Q58">
        <v>18307918</v>
      </c>
      <c r="R58">
        <v>23399332</v>
      </c>
      <c r="S58">
        <v>18799843</v>
      </c>
      <c r="T58">
        <v>18541254</v>
      </c>
      <c r="U58">
        <v>18539843</v>
      </c>
      <c r="V58">
        <v>7091834</v>
      </c>
      <c r="X58">
        <v>18541254</v>
      </c>
      <c r="Y58">
        <v>18541254</v>
      </c>
    </row>
    <row r="59" spans="2:25" x14ac:dyDescent="0.25">
      <c r="B59">
        <v>1493</v>
      </c>
      <c r="C59">
        <v>847</v>
      </c>
      <c r="D59">
        <v>640</v>
      </c>
      <c r="E59">
        <v>1390</v>
      </c>
      <c r="F59">
        <v>1872</v>
      </c>
      <c r="G59">
        <v>1011</v>
      </c>
      <c r="H59">
        <v>639</v>
      </c>
      <c r="I59">
        <v>231</v>
      </c>
      <c r="J59">
        <v>237</v>
      </c>
      <c r="L59">
        <v>946</v>
      </c>
      <c r="M59">
        <v>1384</v>
      </c>
      <c r="N59">
        <v>23146001</v>
      </c>
      <c r="O59">
        <v>18939843</v>
      </c>
      <c r="P59">
        <v>7506385</v>
      </c>
      <c r="Q59">
        <v>18307918</v>
      </c>
      <c r="R59">
        <v>23399332</v>
      </c>
      <c r="S59">
        <v>18799843</v>
      </c>
      <c r="T59">
        <v>18541254</v>
      </c>
      <c r="U59">
        <v>18539843</v>
      </c>
      <c r="V59">
        <v>7091834</v>
      </c>
      <c r="X59">
        <v>18541254</v>
      </c>
      <c r="Y59">
        <v>18541254</v>
      </c>
    </row>
    <row r="60" spans="2:25" x14ac:dyDescent="0.25">
      <c r="B60">
        <v>1495</v>
      </c>
      <c r="C60">
        <v>870</v>
      </c>
      <c r="D60">
        <v>647</v>
      </c>
      <c r="E60">
        <v>1381</v>
      </c>
      <c r="F60">
        <v>1881</v>
      </c>
      <c r="G60">
        <v>1026</v>
      </c>
      <c r="H60">
        <v>642</v>
      </c>
      <c r="I60">
        <v>229</v>
      </c>
      <c r="J60">
        <v>227</v>
      </c>
      <c r="L60">
        <v>931</v>
      </c>
      <c r="M60">
        <v>1379</v>
      </c>
      <c r="N60">
        <v>23046001</v>
      </c>
      <c r="O60">
        <v>18939843</v>
      </c>
      <c r="P60">
        <v>7506385</v>
      </c>
      <c r="Q60">
        <v>18307918</v>
      </c>
      <c r="R60">
        <v>23399332</v>
      </c>
      <c r="S60">
        <v>18799843</v>
      </c>
      <c r="T60">
        <v>18541254</v>
      </c>
      <c r="U60">
        <v>18539843</v>
      </c>
      <c r="V60">
        <v>7091834</v>
      </c>
      <c r="X60">
        <v>18541254</v>
      </c>
      <c r="Y60">
        <v>18541254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3179</v>
      </c>
      <c r="C64">
        <v>1935</v>
      </c>
      <c r="D64">
        <v>981</v>
      </c>
      <c r="E64">
        <v>4593</v>
      </c>
      <c r="F64">
        <v>2906</v>
      </c>
      <c r="G64">
        <v>2762</v>
      </c>
      <c r="H64">
        <v>1581</v>
      </c>
      <c r="I64">
        <v>501</v>
      </c>
      <c r="J64">
        <v>399</v>
      </c>
      <c r="L64">
        <v>2196</v>
      </c>
      <c r="M64">
        <v>2620</v>
      </c>
    </row>
    <row r="65" spans="2:13" x14ac:dyDescent="0.25">
      <c r="B65">
        <v>3144</v>
      </c>
      <c r="C65">
        <v>1936</v>
      </c>
      <c r="D65">
        <v>984</v>
      </c>
      <c r="E65">
        <v>4497</v>
      </c>
      <c r="F65">
        <v>2948</v>
      </c>
      <c r="G65">
        <v>2795</v>
      </c>
      <c r="H65">
        <v>1574</v>
      </c>
      <c r="I65">
        <v>504</v>
      </c>
      <c r="J65">
        <v>406</v>
      </c>
      <c r="L65">
        <v>2229</v>
      </c>
      <c r="M65">
        <v>2708</v>
      </c>
    </row>
    <row r="66" spans="2:13" x14ac:dyDescent="0.25">
      <c r="B66">
        <v>3171</v>
      </c>
      <c r="C66">
        <v>1922</v>
      </c>
      <c r="D66">
        <v>988</v>
      </c>
      <c r="E66">
        <v>4437</v>
      </c>
      <c r="F66">
        <v>2941</v>
      </c>
      <c r="G66">
        <v>2803</v>
      </c>
      <c r="H66">
        <v>1626</v>
      </c>
      <c r="I66">
        <v>528</v>
      </c>
      <c r="J66">
        <v>403</v>
      </c>
      <c r="L66">
        <v>2215</v>
      </c>
      <c r="M66">
        <v>2625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48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AVERAGE(Table72[Newtonsoft])</f>
        <v>1614</v>
      </c>
      <c r="D38" s="2">
        <f>AVERAGE(Table72[Revenj])</f>
        <v>1606.3333333333333</v>
      </c>
      <c r="E38" s="2">
        <f>AVERAGE(Table72[ProtoBuf (binary reference)])</f>
        <v>1586</v>
      </c>
      <c r="F38" s="2">
        <f>AVERAGE(Table72[Service Stack])</f>
        <v>1624.3333333333333</v>
      </c>
      <c r="G38" s="2">
        <f>AVERAGE(Table72[Jil])</f>
        <v>1631.3333333333333</v>
      </c>
      <c r="H38" s="2">
        <f>AVERAGE(Table72[NetJSON])</f>
        <v>1680.3333333333333</v>
      </c>
      <c r="I38" s="2">
        <f>AVERAGE(Table72[Jackson])</f>
        <v>227.33333333333334</v>
      </c>
      <c r="J38" s="2">
        <f>AVERAGE(Table72[DSL-JSON])</f>
        <v>219</v>
      </c>
      <c r="K38" s="2">
        <f>AVERAGE(Table72[Kryo (binary reference)])</f>
        <v>229.33333333333334</v>
      </c>
      <c r="L38" s="2" t="e">
        <f>AVERAGE(Table72[Boon])</f>
        <v>#DIV/0!</v>
      </c>
      <c r="M38" s="2">
        <f>AVERAGE(Table72[Alibaba])</f>
        <v>226</v>
      </c>
      <c r="N38" s="2">
        <f>AVERAGE(Table72[Gson])</f>
        <v>225</v>
      </c>
      <c r="O38" s="2"/>
      <c r="P38" s="2"/>
      <c r="Q38" s="2"/>
    </row>
    <row r="39" spans="2:17" x14ac:dyDescent="0.25">
      <c r="B39" t="s">
        <v>0</v>
      </c>
      <c r="C39" s="2">
        <f>AVERAGE(Table71[Newtonsoft]) - C38</f>
        <v>10589.333333333334</v>
      </c>
      <c r="D39" s="2">
        <f>AVERAGE(Table71[Revenj]) - D38</f>
        <v>4400</v>
      </c>
      <c r="E39" s="2">
        <f>AVERAGE(Table71[ProtoBuf (binary reference)]) - E38</f>
        <v>2198</v>
      </c>
      <c r="F39" s="2">
        <f>AVERAGE(Table71[Service Stack]) - F38</f>
        <v>8834</v>
      </c>
      <c r="G39" s="2">
        <f>AVERAGE(Table71[Jil]) - G38</f>
        <v>12954</v>
      </c>
      <c r="H39" s="2">
        <f>AVERAGE(Table71[NetJSON]) - H38</f>
        <v>6055.666666666667</v>
      </c>
      <c r="I39" s="2">
        <f>AVERAGE(Table71[Jackson]) - I38</f>
        <v>2080</v>
      </c>
      <c r="J39" s="2">
        <f>AVERAGE(Table71[DSL-JSON]) - J38</f>
        <v>770.33333333333337</v>
      </c>
      <c r="K39" s="2">
        <f>AVERAGE(Table71[Kryo (binary reference)]) - K38</f>
        <v>651.66666666666663</v>
      </c>
      <c r="L39" s="2" t="e">
        <f>AVERAGE(Table71[Boon]) - L38</f>
        <v>#DIV/0!</v>
      </c>
      <c r="M39" s="2">
        <f>AVERAGE(Table71[Alibaba]) - M38</f>
        <v>5123</v>
      </c>
      <c r="N39" s="2">
        <f>AVERAGE(Table71[Gson]) - N38</f>
        <v>9455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16399.333333333336</v>
      </c>
      <c r="D40" s="2">
        <f t="shared" si="0"/>
        <v>10962.666666666666</v>
      </c>
      <c r="E40" s="2">
        <f t="shared" ref="E40" si="1">E41 - E39 - E38</f>
        <v>3549</v>
      </c>
      <c r="F40" s="2">
        <f t="shared" si="0"/>
        <v>31338.666666666668</v>
      </c>
      <c r="G40" s="2">
        <f t="shared" si="0"/>
        <v>9284.9999999999982</v>
      </c>
      <c r="H40" s="2">
        <f t="shared" si="0"/>
        <v>23440</v>
      </c>
      <c r="I40" s="2">
        <f t="shared" ref="I40" si="2">I41 - I39 - I38</f>
        <v>6771.333333333333</v>
      </c>
      <c r="J40" s="2">
        <f t="shared" ref="J40" si="3">J41 - J39 - J38</f>
        <v>1386</v>
      </c>
      <c r="K40" s="2">
        <f t="shared" ref="K40:L40" si="4">K41 - K39 - K38</f>
        <v>923.66666666666663</v>
      </c>
      <c r="L40" s="2" t="e">
        <f t="shared" si="4"/>
        <v>#DIV/0!</v>
      </c>
      <c r="M40" s="2">
        <f t="shared" ref="M40" si="5">M41 - M39 - M38</f>
        <v>7166.6666666666661</v>
      </c>
      <c r="N40" s="2">
        <f t="shared" ref="N40" si="6">N41 - N39 - N38</f>
        <v>9007</v>
      </c>
      <c r="O40" s="2"/>
      <c r="P40" s="2"/>
      <c r="Q40" s="2"/>
    </row>
    <row r="41" spans="2:17" x14ac:dyDescent="0.25">
      <c r="B41" t="s">
        <v>23</v>
      </c>
      <c r="C41" s="2">
        <f>AVERAGE(Table73[Newtonsoft])</f>
        <v>28602.666666666668</v>
      </c>
      <c r="D41" s="2">
        <f>AVERAGE(Table73[Revenj])</f>
        <v>16969</v>
      </c>
      <c r="E41" s="2">
        <f>AVERAGE(Table73[ProtoBuf (binary reference)])</f>
        <v>7333</v>
      </c>
      <c r="F41" s="2">
        <f>AVERAGE(Table73[Service Stack])</f>
        <v>41797</v>
      </c>
      <c r="G41" s="2">
        <f>AVERAGE(Table73[Jil])</f>
        <v>23870.333333333332</v>
      </c>
      <c r="H41" s="2">
        <f>AVERAGE(Table73[NetJSON])</f>
        <v>31176</v>
      </c>
      <c r="I41" s="2">
        <f>AVERAGE(Table73[Jackson])</f>
        <v>9078.6666666666661</v>
      </c>
      <c r="J41" s="2">
        <f>AVERAGE(Table73[DSL-JSON])</f>
        <v>2375.3333333333335</v>
      </c>
      <c r="K41" s="2">
        <f>AVERAGE(Table73[Kryo (binary reference)])</f>
        <v>1804.6666666666667</v>
      </c>
      <c r="L41" s="2" t="e">
        <f>AVERAGE(Table73[Boon])</f>
        <v>#DIV/0!</v>
      </c>
      <c r="M41" s="2">
        <f>AVERAGE(Table73[Alibaba])</f>
        <v>12515.666666666666</v>
      </c>
      <c r="N41" s="2">
        <f>AVERAGE(Table73[Gson])</f>
        <v>18687</v>
      </c>
      <c r="O41" s="2"/>
      <c r="P41" s="2"/>
      <c r="Q41" s="2"/>
    </row>
    <row r="42" spans="2:17" x14ac:dyDescent="0.25">
      <c r="B42" t="s">
        <v>4</v>
      </c>
      <c r="C42" s="3">
        <f>AVERAGE(Table71[Newtonsoft (size)])</f>
        <v>240523562</v>
      </c>
      <c r="D42" s="3">
        <f>AVERAGE(Table71[Revenj (size)])</f>
        <v>197807889.33333334</v>
      </c>
      <c r="E42" s="3">
        <f>AVERAGE(Table71[ProtoBuf (size)])</f>
        <v>79244720</v>
      </c>
      <c r="F42" s="3">
        <f>AVERAGE(Table71[Service Stack (size)])</f>
        <v>192142631</v>
      </c>
      <c r="G42" s="2">
        <f>AVERAGE(Table71[Jil (size)])</f>
        <v>243056893</v>
      </c>
      <c r="H42" s="2">
        <f>AVERAGE(Table71[NetJSON (size)])</f>
        <v>197074556</v>
      </c>
      <c r="I42" s="2">
        <f>AVERAGE(Table71[Jackson (size)])</f>
        <v>194475967</v>
      </c>
      <c r="J42" s="2">
        <f>AVERAGE(Table71[DSL-JSON (size)])</f>
        <v>194474556</v>
      </c>
      <c r="K42" s="2">
        <f>AVERAGE(Table71[Kryo (size)])</f>
        <v>74036454</v>
      </c>
      <c r="L42" s="2" t="e">
        <f>AVERAGE(Table71[Boon (size)])</f>
        <v>#DIV/0!</v>
      </c>
      <c r="M42" s="2">
        <f>AVERAGE(Table71[Alibaba (size)])</f>
        <v>194475967</v>
      </c>
      <c r="N42" s="2">
        <f>AVERAGE(Table71[Gson (size)])</f>
        <v>194475967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DEVSQ(Table71[Newtonsoft])</f>
        <v>95932.666666666657</v>
      </c>
      <c r="D47" s="2">
        <f>DEVSQ(Table71[Revenj])</f>
        <v>30580.666666666664</v>
      </c>
      <c r="E47" s="2">
        <f>DEVSQ(Table71[ProtoBuf (binary reference)])</f>
        <v>2534</v>
      </c>
      <c r="F47" s="2">
        <f>DEVSQ(Table71[Service Stack])</f>
        <v>181300.66666666666</v>
      </c>
      <c r="G47" s="2">
        <f>DEVSQ(Table71[Jil])</f>
        <v>21592.666666666668</v>
      </c>
      <c r="H47" s="2">
        <f>DEVSQ(Table71[NetJSON])</f>
        <v>9816</v>
      </c>
      <c r="I47" s="2">
        <f>DEVSQ(Table71[Jackson])</f>
        <v>1072.6666666666667</v>
      </c>
      <c r="J47" s="2">
        <f>DEVSQ(Table71[DSL-JSON])</f>
        <v>16.666666666666664</v>
      </c>
      <c r="K47" s="2">
        <f>DEVSQ(Table71[Kryo (binary reference)])</f>
        <v>78</v>
      </c>
      <c r="L47" s="2" t="e">
        <f>DEVSQ(Table71[Boon])</f>
        <v>#NUM!</v>
      </c>
      <c r="M47" s="2">
        <f>DEVSQ(Table71[Alibaba])</f>
        <v>13418</v>
      </c>
      <c r="N47" s="2">
        <f>DEVSQ(Table71[Gson])</f>
        <v>22922</v>
      </c>
      <c r="O47" s="2"/>
      <c r="P47" s="2"/>
      <c r="Q47" s="2"/>
    </row>
    <row r="48" spans="2:17" x14ac:dyDescent="0.25">
      <c r="B48" t="s">
        <v>23</v>
      </c>
      <c r="C48" s="2">
        <f>DEVSQ(Table73[Newtonsoft])</f>
        <v>221058.66666666669</v>
      </c>
      <c r="D48" s="2">
        <f>DEVSQ(Table73[Revenj])</f>
        <v>18842</v>
      </c>
      <c r="E48" s="2">
        <f>DEVSQ(Table73[ProtoBuf (binary reference)])</f>
        <v>686</v>
      </c>
      <c r="F48" s="2">
        <f>DEVSQ(Table73[Service Stack])</f>
        <v>291422</v>
      </c>
      <c r="G48" s="2">
        <f>DEVSQ(Table73[Jil])</f>
        <v>118658.66666666666</v>
      </c>
      <c r="H48" s="2">
        <f>DEVSQ(Table73[NetJSON])</f>
        <v>38408</v>
      </c>
      <c r="I48" s="2">
        <f>DEVSQ(Table73[Jackson])</f>
        <v>188820.66666666669</v>
      </c>
      <c r="J48" s="2">
        <f>DEVSQ(Table73[DSL-JSON])</f>
        <v>210.66666666666663</v>
      </c>
      <c r="K48" s="2">
        <f>DEVSQ(Table73[Kryo (binary reference)])</f>
        <v>8808.6666666666679</v>
      </c>
      <c r="L48" s="2" t="e">
        <f>DEVSQ(Table73[Boon])</f>
        <v>#NUM!</v>
      </c>
      <c r="M48" s="2">
        <f>DEVSQ(Table73[Alibaba])</f>
        <v>4234.6666666666661</v>
      </c>
      <c r="N48" s="2">
        <f>DEVSQ(Table73[Gson])</f>
        <v>41958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1604</v>
      </c>
      <c r="C52">
        <v>1655</v>
      </c>
      <c r="D52">
        <v>1567</v>
      </c>
      <c r="E52">
        <v>1675</v>
      </c>
      <c r="F52">
        <v>1646</v>
      </c>
      <c r="G52">
        <v>1684</v>
      </c>
      <c r="H52">
        <v>227</v>
      </c>
      <c r="I52">
        <v>223</v>
      </c>
      <c r="J52">
        <v>218</v>
      </c>
      <c r="L52">
        <v>222</v>
      </c>
      <c r="M52">
        <v>221</v>
      </c>
    </row>
    <row r="53" spans="2:25" x14ac:dyDescent="0.25">
      <c r="B53">
        <v>1650</v>
      </c>
      <c r="C53">
        <v>1563</v>
      </c>
      <c r="D53">
        <v>1608</v>
      </c>
      <c r="E53">
        <v>1557</v>
      </c>
      <c r="F53">
        <v>1665</v>
      </c>
      <c r="G53">
        <v>1625</v>
      </c>
      <c r="H53">
        <v>231</v>
      </c>
      <c r="I53">
        <v>217</v>
      </c>
      <c r="J53">
        <v>242</v>
      </c>
      <c r="L53">
        <v>227</v>
      </c>
      <c r="M53">
        <v>229</v>
      </c>
    </row>
    <row r="54" spans="2:25" x14ac:dyDescent="0.25">
      <c r="B54">
        <v>1588</v>
      </c>
      <c r="C54">
        <v>1601</v>
      </c>
      <c r="D54">
        <v>1583</v>
      </c>
      <c r="E54">
        <v>1641</v>
      </c>
      <c r="F54">
        <v>1583</v>
      </c>
      <c r="G54">
        <v>1732</v>
      </c>
      <c r="H54">
        <v>224</v>
      </c>
      <c r="I54">
        <v>217</v>
      </c>
      <c r="J54">
        <v>228</v>
      </c>
      <c r="L54">
        <v>229</v>
      </c>
      <c r="M54">
        <v>225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12206</v>
      </c>
      <c r="C58">
        <v>5940</v>
      </c>
      <c r="D58">
        <v>3825</v>
      </c>
      <c r="E58">
        <v>10802</v>
      </c>
      <c r="F58">
        <v>14674</v>
      </c>
      <c r="G58">
        <v>7674</v>
      </c>
      <c r="H58">
        <v>2333</v>
      </c>
      <c r="I58">
        <v>991</v>
      </c>
      <c r="J58">
        <v>874</v>
      </c>
      <c r="L58">
        <v>5376</v>
      </c>
      <c r="M58">
        <v>9571</v>
      </c>
      <c r="N58">
        <v>240523562</v>
      </c>
      <c r="O58">
        <v>198474556</v>
      </c>
      <c r="P58">
        <v>79244720</v>
      </c>
      <c r="Q58">
        <v>192142631</v>
      </c>
      <c r="R58">
        <v>243056893</v>
      </c>
      <c r="S58">
        <v>197074556</v>
      </c>
      <c r="T58">
        <v>194475967</v>
      </c>
      <c r="U58">
        <v>194474556</v>
      </c>
      <c r="V58">
        <v>74036454</v>
      </c>
      <c r="X58">
        <v>194475967</v>
      </c>
      <c r="Y58">
        <v>194475967</v>
      </c>
    </row>
    <row r="59" spans="2:25" x14ac:dyDescent="0.25">
      <c r="B59">
        <v>11983</v>
      </c>
      <c r="C59">
        <v>6149</v>
      </c>
      <c r="D59">
        <v>3766</v>
      </c>
      <c r="E59">
        <v>10332</v>
      </c>
      <c r="F59">
        <v>14471</v>
      </c>
      <c r="G59">
        <v>7812</v>
      </c>
      <c r="H59">
        <v>2288</v>
      </c>
      <c r="I59">
        <v>986</v>
      </c>
      <c r="J59">
        <v>886</v>
      </c>
      <c r="L59">
        <v>5257</v>
      </c>
      <c r="M59">
        <v>9684</v>
      </c>
      <c r="N59">
        <v>240523562</v>
      </c>
      <c r="O59">
        <v>198474556</v>
      </c>
      <c r="P59">
        <v>79244720</v>
      </c>
      <c r="Q59">
        <v>192142631</v>
      </c>
      <c r="R59">
        <v>243056893</v>
      </c>
      <c r="S59">
        <v>197074556</v>
      </c>
      <c r="T59">
        <v>194475967</v>
      </c>
      <c r="U59">
        <v>194474556</v>
      </c>
      <c r="V59">
        <v>74036454</v>
      </c>
      <c r="X59">
        <v>194475967</v>
      </c>
      <c r="Y59">
        <v>194475967</v>
      </c>
    </row>
    <row r="60" spans="2:25" x14ac:dyDescent="0.25">
      <c r="B60">
        <v>12421</v>
      </c>
      <c r="C60">
        <v>5930</v>
      </c>
      <c r="D60">
        <v>3761</v>
      </c>
      <c r="E60">
        <v>10241</v>
      </c>
      <c r="F60">
        <v>14611</v>
      </c>
      <c r="G60">
        <v>7722</v>
      </c>
      <c r="H60">
        <v>2301</v>
      </c>
      <c r="I60">
        <v>991</v>
      </c>
      <c r="J60">
        <v>883</v>
      </c>
      <c r="L60">
        <v>5414</v>
      </c>
      <c r="M60">
        <v>9785</v>
      </c>
      <c r="N60">
        <v>240523562</v>
      </c>
      <c r="O60">
        <v>196474556</v>
      </c>
      <c r="P60">
        <v>79244720</v>
      </c>
      <c r="Q60">
        <v>192142631</v>
      </c>
      <c r="R60">
        <v>243056893</v>
      </c>
      <c r="S60">
        <v>197074556</v>
      </c>
      <c r="T60">
        <v>194475967</v>
      </c>
      <c r="U60">
        <v>194474556</v>
      </c>
      <c r="V60">
        <v>74036454</v>
      </c>
      <c r="X60">
        <v>194475967</v>
      </c>
      <c r="Y60">
        <v>194475967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28962</v>
      </c>
      <c r="C64">
        <v>16973</v>
      </c>
      <c r="D64">
        <v>7351</v>
      </c>
      <c r="E64">
        <v>41782</v>
      </c>
      <c r="F64">
        <v>23851</v>
      </c>
      <c r="G64">
        <v>31098</v>
      </c>
      <c r="H64">
        <v>9064</v>
      </c>
      <c r="I64">
        <v>2364</v>
      </c>
      <c r="J64">
        <v>1853</v>
      </c>
      <c r="L64">
        <v>12469</v>
      </c>
      <c r="M64">
        <v>18840</v>
      </c>
    </row>
    <row r="65" spans="2:13" x14ac:dyDescent="0.25">
      <c r="B65">
        <v>28306</v>
      </c>
      <c r="C65">
        <v>17064</v>
      </c>
      <c r="D65">
        <v>7314</v>
      </c>
      <c r="E65">
        <v>42186</v>
      </c>
      <c r="F65">
        <v>23637</v>
      </c>
      <c r="G65">
        <v>31094</v>
      </c>
      <c r="H65">
        <v>9393</v>
      </c>
      <c r="I65">
        <v>2384</v>
      </c>
      <c r="J65">
        <v>1832</v>
      </c>
      <c r="L65">
        <v>12517</v>
      </c>
      <c r="M65">
        <v>18669</v>
      </c>
    </row>
    <row r="66" spans="2:13" x14ac:dyDescent="0.25">
      <c r="B66">
        <v>28540</v>
      </c>
      <c r="C66">
        <v>16870</v>
      </c>
      <c r="D66">
        <v>7334</v>
      </c>
      <c r="E66">
        <v>41423</v>
      </c>
      <c r="F66">
        <v>24123</v>
      </c>
      <c r="G66">
        <v>31336</v>
      </c>
      <c r="H66">
        <v>8779</v>
      </c>
      <c r="I66">
        <v>2378</v>
      </c>
      <c r="J66">
        <v>1729</v>
      </c>
      <c r="L66">
        <v>12561</v>
      </c>
      <c r="M66">
        <v>18552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49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AVERAGE(Table77[Newtonsoft])</f>
        <v>1418.3333333333333</v>
      </c>
      <c r="D38" s="2">
        <f>AVERAGE(Table77[Revenj])</f>
        <v>1498.6666666666667</v>
      </c>
      <c r="E38" s="2">
        <f>AVERAGE(Table77[ProtoBuf (binary reference)])</f>
        <v>1474</v>
      </c>
      <c r="F38" s="2">
        <f>AVERAGE(Table77[Service Stack])</f>
        <v>1419.3333333333333</v>
      </c>
      <c r="G38" s="2">
        <f>AVERAGE(Table77[Jil])</f>
        <v>1450.6666666666667</v>
      </c>
      <c r="H38" s="2">
        <f>AVERAGE(Table77[NetJSON])</f>
        <v>1439.6666666666667</v>
      </c>
      <c r="I38" s="2">
        <f>AVERAGE(Table77[Jackson])</f>
        <v>243.33333333333334</v>
      </c>
      <c r="J38" s="2">
        <f>AVERAGE(Table77[DSL-JSON])</f>
        <v>223</v>
      </c>
      <c r="K38" s="2">
        <f>AVERAGE(Table77[Kryo (binary reference)])</f>
        <v>246.33333333333334</v>
      </c>
      <c r="L38" s="2" t="e">
        <f>AVERAGE(Table77[Boon])</f>
        <v>#DIV/0!</v>
      </c>
      <c r="M38" s="2">
        <f>AVERAGE(Table77[Alibaba])</f>
        <v>273</v>
      </c>
      <c r="N38" s="2">
        <f>AVERAGE(Table77[Gson])</f>
        <v>250.33333333333334</v>
      </c>
      <c r="O38" s="2"/>
      <c r="P38" s="2"/>
      <c r="Q38" s="2"/>
    </row>
    <row r="39" spans="2:17" x14ac:dyDescent="0.25">
      <c r="B39" t="s">
        <v>0</v>
      </c>
      <c r="C39" s="2">
        <f>AVERAGE(Table76[Newtonsoft]) - C38</f>
        <v>3992</v>
      </c>
      <c r="D39" s="2">
        <f>AVERAGE(Table76[Revenj]) - D38</f>
        <v>990.66666666666674</v>
      </c>
      <c r="E39" s="2">
        <f>AVERAGE(Table76[ProtoBuf (binary reference)]) - E38</f>
        <v>383.66666666666674</v>
      </c>
      <c r="F39" s="2">
        <f>AVERAGE(Table76[Service Stack]) - F38</f>
        <v>2439</v>
      </c>
      <c r="G39" s="2">
        <f>AVERAGE(Table76[Jil]) - G38</f>
        <v>4361.6666666666661</v>
      </c>
      <c r="H39" s="2">
        <f>AVERAGE(Table76[NetJSON]) - H38</f>
        <v>2185.666666666667</v>
      </c>
      <c r="I39" s="2">
        <f>AVERAGE(Table76[Jackson]) - I38</f>
        <v>907.33333333333337</v>
      </c>
      <c r="J39" s="2">
        <f>AVERAGE(Table76[DSL-JSON]) - J38</f>
        <v>444.33333333333337</v>
      </c>
      <c r="K39" s="2">
        <f>AVERAGE(Table76[Kryo (binary reference)]) - K38</f>
        <v>294.33333333333326</v>
      </c>
      <c r="L39" s="2" t="e">
        <f>AVERAGE(Table76[Boon]) - L38</f>
        <v>#DIV/0!</v>
      </c>
      <c r="M39" s="2">
        <f>AVERAGE(Table76[Alibaba]) - M38</f>
        <v>914.33333333333326</v>
      </c>
      <c r="N39" s="2">
        <f>AVERAGE(Table76[Gson]) - N38</f>
        <v>2935.6666666666665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3531.666666666667</v>
      </c>
      <c r="D40" s="2">
        <f t="shared" si="0"/>
        <v>2070.9999999999991</v>
      </c>
      <c r="E40" s="2">
        <f t="shared" ref="E40" si="1">E41 - E39 - E38</f>
        <v>1030.666666666667</v>
      </c>
      <c r="F40" s="2">
        <f t="shared" si="0"/>
        <v>13613.999999999998</v>
      </c>
      <c r="G40" s="2">
        <f t="shared" si="0"/>
        <v>3237.333333333333</v>
      </c>
      <c r="H40" s="2">
        <f t="shared" si="0"/>
        <v>8956.6666666666661</v>
      </c>
      <c r="I40" s="2">
        <f t="shared" ref="I40" si="2">I41 - I39 - I38</f>
        <v>1891.6666666666667</v>
      </c>
      <c r="J40" s="2">
        <f t="shared" ref="J40" si="3">J41 - J39 - J38</f>
        <v>284.66666666666663</v>
      </c>
      <c r="K40" s="2">
        <f t="shared" ref="K40:L40" si="4">K41 - K39 - K38</f>
        <v>337.33333333333337</v>
      </c>
      <c r="L40" s="2" t="e">
        <f t="shared" si="4"/>
        <v>#DIV/0!</v>
      </c>
      <c r="M40" s="2">
        <f t="shared" ref="M40" si="5">M41 - M39 - M38</f>
        <v>2175</v>
      </c>
      <c r="N40" s="2">
        <f t="shared" ref="N40" si="6">N41 - N39 - N38</f>
        <v>2050.333333333333</v>
      </c>
      <c r="O40" s="2"/>
      <c r="P40" s="2"/>
      <c r="Q40" s="2"/>
    </row>
    <row r="41" spans="2:17" x14ac:dyDescent="0.25">
      <c r="B41" t="s">
        <v>23</v>
      </c>
      <c r="C41" s="2">
        <f>AVERAGE(Table78[Newtonsoft])</f>
        <v>8942</v>
      </c>
      <c r="D41" s="2">
        <f>AVERAGE(Table78[Revenj])</f>
        <v>4560.333333333333</v>
      </c>
      <c r="E41" s="2">
        <f>AVERAGE(Table78[ProtoBuf (binary reference)])</f>
        <v>2888.3333333333335</v>
      </c>
      <c r="F41" s="2">
        <f>AVERAGE(Table78[Service Stack])</f>
        <v>17472.333333333332</v>
      </c>
      <c r="G41" s="2">
        <f>AVERAGE(Table78[Jil])</f>
        <v>9049.6666666666661</v>
      </c>
      <c r="H41" s="2">
        <f>AVERAGE(Table78[NetJSON])</f>
        <v>12582</v>
      </c>
      <c r="I41" s="2">
        <f>AVERAGE(Table78[Jackson])</f>
        <v>3042.3333333333335</v>
      </c>
      <c r="J41" s="2">
        <f>AVERAGE(Table78[DSL-JSON])</f>
        <v>952</v>
      </c>
      <c r="K41" s="2">
        <f>AVERAGE(Table78[Kryo (binary reference)])</f>
        <v>878</v>
      </c>
      <c r="L41" s="2" t="e">
        <f>AVERAGE(Table78[Boon])</f>
        <v>#DIV/0!</v>
      </c>
      <c r="M41" s="2">
        <f>AVERAGE(Table78[Alibaba])</f>
        <v>3362.3333333333335</v>
      </c>
      <c r="N41" s="2">
        <f>AVERAGE(Table78[Gson])</f>
        <v>5236.333333333333</v>
      </c>
      <c r="O41" s="2"/>
      <c r="P41" s="2"/>
      <c r="Q41" s="2"/>
    </row>
    <row r="42" spans="2:17" x14ac:dyDescent="0.25">
      <c r="B42" t="s">
        <v>4</v>
      </c>
      <c r="C42" s="3">
        <f>AVERAGE(Table76[Newtonsoft (size)])</f>
        <v>83990285.333333328</v>
      </c>
      <c r="D42" s="3">
        <f>AVERAGE(Table76[Revenj (size)])</f>
        <v>73494967</v>
      </c>
      <c r="E42" s="3">
        <f>AVERAGE(Table76[ProtoBuf (size)])</f>
        <v>35094918</v>
      </c>
      <c r="F42" s="3">
        <f>AVERAGE(Table76[Service Stack (size)])</f>
        <v>79509317</v>
      </c>
      <c r="G42" s="2">
        <f>AVERAGE(Table76[Jil (size)])</f>
        <v>84298017</v>
      </c>
      <c r="H42" s="2">
        <f>AVERAGE(Table76[NetJSON (size)])</f>
        <v>78878495</v>
      </c>
      <c r="I42" s="2">
        <f>AVERAGE(Table76[Jackson (size)])</f>
        <v>73117617</v>
      </c>
      <c r="J42" s="2">
        <f>AVERAGE(Table76[DSL-JSON (size)])</f>
        <v>72798613.666666672</v>
      </c>
      <c r="K42" s="2">
        <f>AVERAGE(Table76[Kryo (size)])</f>
        <v>31184505</v>
      </c>
      <c r="L42" s="2" t="e">
        <f>AVERAGE(Table76[Boon (size)])</f>
        <v>#DIV/0!</v>
      </c>
      <c r="M42" s="2">
        <f>AVERAGE(Table76[Alibaba (size)])</f>
        <v>73117617</v>
      </c>
      <c r="N42" s="2">
        <f>AVERAGE(Table76[Gson (size)])</f>
        <v>73117617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DEVSQ(Table76[Newtonsoft])</f>
        <v>23988.666666666668</v>
      </c>
      <c r="D47" s="2">
        <f>DEVSQ(Table76[Revenj])</f>
        <v>3492.666666666667</v>
      </c>
      <c r="E47" s="2">
        <f>DEVSQ(Table76[ProtoBuf (binary reference)])</f>
        <v>1922.6666666666667</v>
      </c>
      <c r="F47" s="2">
        <f>DEVSQ(Table76[Service Stack])</f>
        <v>3392.666666666667</v>
      </c>
      <c r="G47" s="2">
        <f>DEVSQ(Table76[Jil])</f>
        <v>16304.666666666668</v>
      </c>
      <c r="H47" s="2">
        <f>DEVSQ(Table76[NetJSON])</f>
        <v>7764.666666666667</v>
      </c>
      <c r="I47" s="2">
        <f>DEVSQ(Table76[Jackson])</f>
        <v>8452.6666666666679</v>
      </c>
      <c r="J47" s="2">
        <f>DEVSQ(Table76[DSL-JSON])</f>
        <v>18860.666666666668</v>
      </c>
      <c r="K47" s="2">
        <f>DEVSQ(Table76[Kryo (binary reference)])</f>
        <v>188.66666666666669</v>
      </c>
      <c r="L47" s="2" t="e">
        <f>DEVSQ(Table76[Boon])</f>
        <v>#NUM!</v>
      </c>
      <c r="M47" s="2">
        <f>DEVSQ(Table76[Alibaba])</f>
        <v>3378.6666666666665</v>
      </c>
      <c r="N47" s="2">
        <f>DEVSQ(Table76[Gson])</f>
        <v>2202</v>
      </c>
      <c r="O47" s="2"/>
      <c r="P47" s="2"/>
      <c r="Q47" s="2"/>
    </row>
    <row r="48" spans="2:17" x14ac:dyDescent="0.25">
      <c r="B48" t="s">
        <v>23</v>
      </c>
      <c r="C48" s="2">
        <f>DEVSQ(Table78[Newtonsoft])</f>
        <v>9774</v>
      </c>
      <c r="D48" s="2">
        <f>DEVSQ(Table78[Revenj])</f>
        <v>4120.6666666666661</v>
      </c>
      <c r="E48" s="2">
        <f>DEVSQ(Table78[ProtoBuf (binary reference)])</f>
        <v>1504.6666666666665</v>
      </c>
      <c r="F48" s="2">
        <f>DEVSQ(Table78[Service Stack])</f>
        <v>220810.66666666669</v>
      </c>
      <c r="G48" s="2">
        <f>DEVSQ(Table78[Jil])</f>
        <v>46572.666666666672</v>
      </c>
      <c r="H48" s="2">
        <f>DEVSQ(Table78[NetJSON])</f>
        <v>800</v>
      </c>
      <c r="I48" s="2">
        <f>DEVSQ(Table78[Jackson])</f>
        <v>11164.666666666668</v>
      </c>
      <c r="J48" s="2">
        <f>DEVSQ(Table78[DSL-JSON])</f>
        <v>1482</v>
      </c>
      <c r="K48" s="2">
        <f>DEVSQ(Table78[Kryo (binary reference)])</f>
        <v>3002</v>
      </c>
      <c r="L48" s="2" t="e">
        <f>DEVSQ(Table78[Boon])</f>
        <v>#NUM!</v>
      </c>
      <c r="M48" s="2">
        <f>DEVSQ(Table78[Alibaba])</f>
        <v>14282.666666666664</v>
      </c>
      <c r="N48" s="2">
        <f>DEVSQ(Table78[Gson])</f>
        <v>58272.666666666672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1475</v>
      </c>
      <c r="C52">
        <v>1489</v>
      </c>
      <c r="D52">
        <v>1519</v>
      </c>
      <c r="E52">
        <v>1460</v>
      </c>
      <c r="F52">
        <v>1418</v>
      </c>
      <c r="G52">
        <v>1476</v>
      </c>
      <c r="H52">
        <v>239</v>
      </c>
      <c r="I52">
        <v>214</v>
      </c>
      <c r="J52">
        <v>245</v>
      </c>
      <c r="L52">
        <v>252</v>
      </c>
      <c r="M52">
        <v>245</v>
      </c>
    </row>
    <row r="53" spans="2:25" x14ac:dyDescent="0.25">
      <c r="B53">
        <v>1365</v>
      </c>
      <c r="C53">
        <v>1430</v>
      </c>
      <c r="D53">
        <v>1552</v>
      </c>
      <c r="E53">
        <v>1323</v>
      </c>
      <c r="F53">
        <v>1483</v>
      </c>
      <c r="G53">
        <v>1462</v>
      </c>
      <c r="H53">
        <v>242</v>
      </c>
      <c r="I53">
        <v>232</v>
      </c>
      <c r="J53">
        <v>248</v>
      </c>
      <c r="L53">
        <v>249</v>
      </c>
      <c r="M53">
        <v>254</v>
      </c>
    </row>
    <row r="54" spans="2:25" x14ac:dyDescent="0.25">
      <c r="B54">
        <v>1415</v>
      </c>
      <c r="C54">
        <v>1577</v>
      </c>
      <c r="D54">
        <v>1351</v>
      </c>
      <c r="E54">
        <v>1475</v>
      </c>
      <c r="F54">
        <v>1451</v>
      </c>
      <c r="G54">
        <v>1381</v>
      </c>
      <c r="H54">
        <v>249</v>
      </c>
      <c r="I54">
        <v>223</v>
      </c>
      <c r="J54">
        <v>246</v>
      </c>
      <c r="L54">
        <v>318</v>
      </c>
      <c r="M54">
        <v>252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5302</v>
      </c>
      <c r="C58">
        <v>2535</v>
      </c>
      <c r="D58">
        <v>1857</v>
      </c>
      <c r="E58">
        <v>3878</v>
      </c>
      <c r="F58">
        <v>5736</v>
      </c>
      <c r="G58">
        <v>3595</v>
      </c>
      <c r="H58">
        <v>1077</v>
      </c>
      <c r="I58">
        <v>647</v>
      </c>
      <c r="J58">
        <v>543</v>
      </c>
      <c r="L58">
        <v>1230</v>
      </c>
      <c r="M58">
        <v>3155</v>
      </c>
      <c r="N58">
        <v>83874752</v>
      </c>
      <c r="O58">
        <v>73494967</v>
      </c>
      <c r="P58">
        <v>35094918</v>
      </c>
      <c r="Q58">
        <v>79509317</v>
      </c>
      <c r="R58">
        <v>84298017</v>
      </c>
      <c r="S58">
        <v>78879075</v>
      </c>
      <c r="T58">
        <v>73117617</v>
      </c>
      <c r="U58">
        <v>72797367</v>
      </c>
      <c r="V58">
        <v>31184505</v>
      </c>
      <c r="X58">
        <v>73117617</v>
      </c>
      <c r="Y58">
        <v>73117617</v>
      </c>
    </row>
    <row r="59" spans="2:25" x14ac:dyDescent="0.25">
      <c r="B59">
        <v>5408</v>
      </c>
      <c r="C59">
        <v>2480</v>
      </c>
      <c r="D59">
        <v>1827</v>
      </c>
      <c r="E59">
        <v>3886</v>
      </c>
      <c r="F59">
        <v>5912</v>
      </c>
      <c r="G59">
        <v>3697</v>
      </c>
      <c r="H59">
        <v>1175</v>
      </c>
      <c r="I59">
        <v>582</v>
      </c>
      <c r="J59">
        <v>530</v>
      </c>
      <c r="L59">
        <v>1148</v>
      </c>
      <c r="M59">
        <v>3221</v>
      </c>
      <c r="N59">
        <v>84048052</v>
      </c>
      <c r="O59">
        <v>73494967</v>
      </c>
      <c r="P59">
        <v>35094918</v>
      </c>
      <c r="Q59">
        <v>79509317</v>
      </c>
      <c r="R59">
        <v>84298017</v>
      </c>
      <c r="S59">
        <v>78877215</v>
      </c>
      <c r="T59">
        <v>73117617</v>
      </c>
      <c r="U59">
        <v>72797807</v>
      </c>
      <c r="V59">
        <v>31184505</v>
      </c>
      <c r="X59">
        <v>73117617</v>
      </c>
      <c r="Y59">
        <v>73117617</v>
      </c>
    </row>
    <row r="60" spans="2:25" x14ac:dyDescent="0.25">
      <c r="B60">
        <v>5521</v>
      </c>
      <c r="C60">
        <v>2453</v>
      </c>
      <c r="D60">
        <v>1889</v>
      </c>
      <c r="E60">
        <v>3811</v>
      </c>
      <c r="F60">
        <v>5789</v>
      </c>
      <c r="G60">
        <v>3584</v>
      </c>
      <c r="H60">
        <v>1200</v>
      </c>
      <c r="I60">
        <v>773</v>
      </c>
      <c r="J60">
        <v>549</v>
      </c>
      <c r="L60">
        <v>1184</v>
      </c>
      <c r="M60">
        <v>3182</v>
      </c>
      <c r="N60">
        <v>84048052</v>
      </c>
      <c r="O60">
        <v>73494967</v>
      </c>
      <c r="P60">
        <v>35094918</v>
      </c>
      <c r="Q60">
        <v>79509317</v>
      </c>
      <c r="R60">
        <v>84298017</v>
      </c>
      <c r="S60">
        <v>78879195</v>
      </c>
      <c r="T60">
        <v>73117617</v>
      </c>
      <c r="U60">
        <v>72800667</v>
      </c>
      <c r="V60">
        <v>31184505</v>
      </c>
      <c r="X60">
        <v>73117617</v>
      </c>
      <c r="Y60">
        <v>73117617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8921</v>
      </c>
      <c r="C64">
        <v>4589</v>
      </c>
      <c r="D64">
        <v>2873</v>
      </c>
      <c r="E64">
        <v>17567</v>
      </c>
      <c r="F64">
        <v>9199</v>
      </c>
      <c r="G64">
        <v>12562</v>
      </c>
      <c r="H64">
        <v>3096</v>
      </c>
      <c r="I64">
        <v>977</v>
      </c>
      <c r="J64">
        <v>893</v>
      </c>
      <c r="L64">
        <v>3265</v>
      </c>
      <c r="M64">
        <v>5305</v>
      </c>
    </row>
    <row r="65" spans="2:13" x14ac:dyDescent="0.25">
      <c r="B65">
        <v>9020</v>
      </c>
      <c r="C65">
        <v>4584</v>
      </c>
      <c r="D65">
        <v>2872</v>
      </c>
      <c r="E65">
        <v>17103</v>
      </c>
      <c r="F65">
        <v>9056</v>
      </c>
      <c r="G65">
        <v>12602</v>
      </c>
      <c r="H65">
        <v>3074</v>
      </c>
      <c r="I65">
        <v>923</v>
      </c>
      <c r="J65">
        <v>907</v>
      </c>
      <c r="L65">
        <v>3405</v>
      </c>
      <c r="M65">
        <v>5042</v>
      </c>
    </row>
    <row r="66" spans="2:13" x14ac:dyDescent="0.25">
      <c r="B66">
        <v>8885</v>
      </c>
      <c r="C66">
        <v>4508</v>
      </c>
      <c r="D66">
        <v>2920</v>
      </c>
      <c r="E66">
        <v>17747</v>
      </c>
      <c r="F66">
        <v>8894</v>
      </c>
      <c r="G66" s="4" t="s">
        <v>54</v>
      </c>
      <c r="H66">
        <v>2957</v>
      </c>
      <c r="I66">
        <v>956</v>
      </c>
      <c r="J66">
        <v>834</v>
      </c>
      <c r="L66">
        <v>3417</v>
      </c>
      <c r="M66">
        <v>5362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50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AVERAGE(Table82[Newtonsoft])</f>
        <v>14503</v>
      </c>
      <c r="D38" s="2">
        <f>AVERAGE(Table82[Revenj])</f>
        <v>14245</v>
      </c>
      <c r="E38" s="2">
        <f>AVERAGE(Table82[ProtoBuf (binary reference)])</f>
        <v>14122.333333333334</v>
      </c>
      <c r="F38" s="2">
        <f>AVERAGE(Table82[Service Stack])</f>
        <v>14239</v>
      </c>
      <c r="G38" s="2">
        <f>AVERAGE(Table82[Jil])</f>
        <v>15312.333333333334</v>
      </c>
      <c r="H38" s="2">
        <f>AVERAGE(Table82[NetJSON])</f>
        <v>14583.333333333334</v>
      </c>
      <c r="I38" s="2">
        <f>AVERAGE(Table82[Jackson])</f>
        <v>1355</v>
      </c>
      <c r="J38" s="2">
        <f>AVERAGE(Table82[DSL-JSON])</f>
        <v>1422.3333333333333</v>
      </c>
      <c r="K38" s="2">
        <f>AVERAGE(Table82[Kryo (binary reference)])</f>
        <v>1358</v>
      </c>
      <c r="L38" s="2" t="e">
        <f>AVERAGE(Table82[Boon])</f>
        <v>#DIV/0!</v>
      </c>
      <c r="M38" s="2">
        <f>AVERAGE(Table82[Alibaba])</f>
        <v>1350</v>
      </c>
      <c r="N38" s="2">
        <f>AVERAGE(Table82[Gson])</f>
        <v>1343.3333333333333</v>
      </c>
      <c r="O38" s="2"/>
      <c r="P38" s="2"/>
      <c r="Q38" s="2"/>
    </row>
    <row r="39" spans="2:17" x14ac:dyDescent="0.25">
      <c r="B39" t="s">
        <v>0</v>
      </c>
      <c r="C39" s="2">
        <f>AVERAGE(Table81[Newtonsoft]) - C38</f>
        <v>38920.333333333336</v>
      </c>
      <c r="D39" s="2">
        <f>AVERAGE(Table81[Revenj]) - D38</f>
        <v>10757</v>
      </c>
      <c r="E39" s="2">
        <f>AVERAGE(Table81[ProtoBuf (binary reference)]) - E38</f>
        <v>5181.9999999999982</v>
      </c>
      <c r="F39" s="2">
        <f>AVERAGE(Table81[Service Stack]) - F38</f>
        <v>23947.333333333336</v>
      </c>
      <c r="G39" s="2">
        <f>AVERAGE(Table81[Jil]) - G38</f>
        <v>42837.333333333328</v>
      </c>
      <c r="H39" s="2">
        <f>AVERAGE(Table81[NetJSON]) - H38</f>
        <v>20907.333333333328</v>
      </c>
      <c r="I39" s="2">
        <f>AVERAGE(Table81[Jackson]) - I38</f>
        <v>6603</v>
      </c>
      <c r="J39" s="2">
        <f>AVERAGE(Table81[DSL-JSON]) - J38</f>
        <v>2180.333333333333</v>
      </c>
      <c r="K39" s="2">
        <f>AVERAGE(Table81[Kryo (binary reference)]) - K38</f>
        <v>1888.6666666666665</v>
      </c>
      <c r="L39" s="2" t="e">
        <f>AVERAGE(Table81[Boon]) - L38</f>
        <v>#DIV/0!</v>
      </c>
      <c r="M39" s="2">
        <f>AVERAGE(Table81[Alibaba]) - M38</f>
        <v>7979.3333333333339</v>
      </c>
      <c r="N39" s="2">
        <f>AVERAGE(Table81[Gson]) - N38</f>
        <v>23914.333333333336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35153.333333333336</v>
      </c>
      <c r="D40" s="2">
        <f t="shared" si="0"/>
        <v>21892</v>
      </c>
      <c r="E40" s="2">
        <f t="shared" ref="E40" si="1">E41 - E39 - E38</f>
        <v>9761.6666666666661</v>
      </c>
      <c r="F40" s="2">
        <f t="shared" si="0"/>
        <v>139719.33333333331</v>
      </c>
      <c r="G40" s="2">
        <f t="shared" si="0"/>
        <v>32277.666666666664</v>
      </c>
      <c r="H40" s="2">
        <f t="shared" si="0"/>
        <v>88399.333333333343</v>
      </c>
      <c r="I40" s="2">
        <f t="shared" ref="I40" si="2">I41 - I39 - I38</f>
        <v>16127.333333333332</v>
      </c>
      <c r="J40" s="2">
        <f t="shared" ref="J40" si="3">J41 - J39 - J38</f>
        <v>2685.666666666667</v>
      </c>
      <c r="K40" s="2">
        <f t="shared" ref="K40:L40" si="4">K41 - K39 - K38</f>
        <v>2640.0000000000005</v>
      </c>
      <c r="L40" s="2" t="e">
        <f t="shared" si="4"/>
        <v>#DIV/0!</v>
      </c>
      <c r="M40" s="2">
        <f t="shared" ref="M40" si="5">M41 - M39 - M38</f>
        <v>13580.333333333334</v>
      </c>
      <c r="N40" s="2">
        <f t="shared" ref="N40" si="6">N41 - N39 - N38</f>
        <v>21925.999999999996</v>
      </c>
      <c r="O40" s="2"/>
      <c r="P40" s="2"/>
      <c r="Q40" s="2"/>
    </row>
    <row r="41" spans="2:17" x14ac:dyDescent="0.25">
      <c r="B41" t="s">
        <v>23</v>
      </c>
      <c r="C41" s="2">
        <f>AVERAGE(Table83[Newtonsoft])</f>
        <v>88576.666666666672</v>
      </c>
      <c r="D41" s="2">
        <f>AVERAGE(Table83[Revenj])</f>
        <v>46894</v>
      </c>
      <c r="E41" s="2">
        <f>AVERAGE(Table83[ProtoBuf (binary reference)])</f>
        <v>29066</v>
      </c>
      <c r="F41" s="2">
        <f>AVERAGE(Table83[Service Stack])</f>
        <v>177905.66666666666</v>
      </c>
      <c r="G41" s="2">
        <f>AVERAGE(Table83[Jil])</f>
        <v>90427.333333333328</v>
      </c>
      <c r="H41" s="2">
        <f>AVERAGE(Table83[NetJSON])</f>
        <v>123890</v>
      </c>
      <c r="I41" s="2">
        <f>AVERAGE(Table83[Jackson])</f>
        <v>24085.333333333332</v>
      </c>
      <c r="J41" s="2">
        <f>AVERAGE(Table83[DSL-JSON])</f>
        <v>6288.333333333333</v>
      </c>
      <c r="K41" s="2">
        <f>AVERAGE(Table83[Kryo (binary reference)])</f>
        <v>5886.666666666667</v>
      </c>
      <c r="L41" s="2" t="e">
        <f>AVERAGE(Table83[Boon])</f>
        <v>#DIV/0!</v>
      </c>
      <c r="M41" s="2">
        <f>AVERAGE(Table83[Alibaba])</f>
        <v>22909.666666666668</v>
      </c>
      <c r="N41" s="2">
        <f>AVERAGE(Table83[Gson])</f>
        <v>47183.666666666664</v>
      </c>
      <c r="O41" s="2"/>
      <c r="P41" s="2"/>
      <c r="Q41" s="2"/>
    </row>
    <row r="42" spans="2:17" x14ac:dyDescent="0.25">
      <c r="B42" t="s">
        <v>4</v>
      </c>
      <c r="C42" s="3">
        <f>AVERAGE(Table81[Newtonsoft (size)])</f>
        <v>850871452</v>
      </c>
      <c r="D42" s="3">
        <f>AVERAGE(Table81[Revenj (size)])</f>
        <v>745341367</v>
      </c>
      <c r="E42" s="3">
        <f>AVERAGE(Table81[ProtoBuf (size)])</f>
        <v>361164198</v>
      </c>
      <c r="F42" s="3">
        <f>AVERAGE(Table81[Service Stack (size)])</f>
        <v>805545046</v>
      </c>
      <c r="G42" s="2">
        <f>AVERAGE(Table81[Jil (size)])</f>
        <v>853371117</v>
      </c>
      <c r="H42" s="2">
        <f>AVERAGE(Table81[NetJSON (size)])</f>
        <v>799181775</v>
      </c>
      <c r="I42" s="2">
        <f>AVERAGE(Table81[Jackson (size)])</f>
        <v>741567117</v>
      </c>
      <c r="J42" s="2">
        <f>AVERAGE(Table81[DSL-JSON (size)])</f>
        <v>738363900.33333337</v>
      </c>
      <c r="K42" s="2">
        <f>AVERAGE(Table81[Kryo (size)])</f>
        <v>322172245</v>
      </c>
      <c r="L42" s="2" t="e">
        <f>AVERAGE(Table81[Boon (size)])</f>
        <v>#DIV/0!</v>
      </c>
      <c r="M42" s="2">
        <f>AVERAGE(Table81[Alibaba (size)])</f>
        <v>741567117</v>
      </c>
      <c r="N42" s="2">
        <f>AVERAGE(Table81[Gson (size)])</f>
        <v>741567117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DEVSQ(Table81[Newtonsoft])</f>
        <v>360104.66666666669</v>
      </c>
      <c r="D47" s="2">
        <f>DEVSQ(Table81[Revenj])</f>
        <v>754598</v>
      </c>
      <c r="E47" s="2">
        <f>DEVSQ(Table81[ProtoBuf (binary reference)])</f>
        <v>491068.66666666669</v>
      </c>
      <c r="F47" s="2">
        <f>DEVSQ(Table81[Service Stack])</f>
        <v>160532.66666666666</v>
      </c>
      <c r="G47" s="2">
        <f>DEVSQ(Table81[Jil])</f>
        <v>2960024.6666666665</v>
      </c>
      <c r="H47" s="2">
        <f>DEVSQ(Table81[NetJSON])</f>
        <v>209760.66666666666</v>
      </c>
      <c r="I47" s="2">
        <f>DEVSQ(Table81[Jackson])</f>
        <v>5352</v>
      </c>
      <c r="J47" s="2">
        <f>DEVSQ(Table81[DSL-JSON])</f>
        <v>38658.666666666664</v>
      </c>
      <c r="K47" s="2">
        <f>DEVSQ(Table81[Kryo (binary reference)])</f>
        <v>548.66666666666663</v>
      </c>
      <c r="L47" s="2" t="e">
        <f>DEVSQ(Table81[Boon])</f>
        <v>#NUM!</v>
      </c>
      <c r="M47" s="2">
        <f>DEVSQ(Table81[Alibaba])</f>
        <v>856114.66666666674</v>
      </c>
      <c r="N47" s="2">
        <f>DEVSQ(Table81[Gson])</f>
        <v>1121164.6666666667</v>
      </c>
      <c r="O47" s="2"/>
      <c r="P47" s="2"/>
      <c r="Q47" s="2"/>
    </row>
    <row r="48" spans="2:17" x14ac:dyDescent="0.25">
      <c r="B48" t="s">
        <v>23</v>
      </c>
      <c r="C48" s="2">
        <f>DEVSQ(Table83[Newtonsoft])</f>
        <v>469900.66666666663</v>
      </c>
      <c r="D48" s="2">
        <f>DEVSQ(Table83[Revenj])</f>
        <v>2375646</v>
      </c>
      <c r="E48" s="2">
        <f>DEVSQ(Table83[ProtoBuf (binary reference)])</f>
        <v>1566878</v>
      </c>
      <c r="F48" s="2">
        <f>DEVSQ(Table83[Service Stack])</f>
        <v>7747338.666666666</v>
      </c>
      <c r="G48" s="2">
        <f>DEVSQ(Table83[Jil])</f>
        <v>5171824.666666666</v>
      </c>
      <c r="H48" s="2">
        <f>DEVSQ(Table83[NetJSON])</f>
        <v>905888</v>
      </c>
      <c r="I48" s="2">
        <f>DEVSQ(Table83[Jackson])</f>
        <v>216754.66666666666</v>
      </c>
      <c r="J48" s="2">
        <f>DEVSQ(Table83[DSL-JSON])</f>
        <v>38964.666666666672</v>
      </c>
      <c r="K48" s="2">
        <f>DEVSQ(Table83[Kryo (binary reference)])</f>
        <v>4784.6666666666661</v>
      </c>
      <c r="L48" s="2" t="e">
        <f>DEVSQ(Table83[Boon])</f>
        <v>#NUM!</v>
      </c>
      <c r="M48" s="2">
        <f>DEVSQ(Table83[Alibaba])</f>
        <v>344608.66666666669</v>
      </c>
      <c r="N48" s="2">
        <f>DEVSQ(Table83[Gson])</f>
        <v>7405584.666666666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15131</v>
      </c>
      <c r="C52">
        <v>14652</v>
      </c>
      <c r="D52">
        <v>14839</v>
      </c>
      <c r="E52">
        <v>14067</v>
      </c>
      <c r="F52">
        <v>15737</v>
      </c>
      <c r="G52">
        <v>15316</v>
      </c>
      <c r="H52">
        <v>1339</v>
      </c>
      <c r="I52">
        <v>1407</v>
      </c>
      <c r="J52">
        <v>1381</v>
      </c>
      <c r="L52">
        <v>1350</v>
      </c>
      <c r="M52">
        <v>1358</v>
      </c>
    </row>
    <row r="53" spans="2:25" x14ac:dyDescent="0.25">
      <c r="B53">
        <v>14009</v>
      </c>
      <c r="C53">
        <v>13700</v>
      </c>
      <c r="D53">
        <v>13480</v>
      </c>
      <c r="E53">
        <v>14731</v>
      </c>
      <c r="F53">
        <v>15214</v>
      </c>
      <c r="G53">
        <v>14007</v>
      </c>
      <c r="H53">
        <v>1364</v>
      </c>
      <c r="I53">
        <v>1437</v>
      </c>
      <c r="J53">
        <v>1333</v>
      </c>
      <c r="L53">
        <v>1345</v>
      </c>
      <c r="M53">
        <v>1329</v>
      </c>
    </row>
    <row r="54" spans="2:25" x14ac:dyDescent="0.25">
      <c r="B54">
        <v>14369</v>
      </c>
      <c r="C54">
        <v>14383</v>
      </c>
      <c r="D54">
        <v>14048</v>
      </c>
      <c r="E54">
        <v>13919</v>
      </c>
      <c r="F54">
        <v>14986</v>
      </c>
      <c r="G54">
        <v>14427</v>
      </c>
      <c r="H54">
        <v>1362</v>
      </c>
      <c r="I54">
        <v>1423</v>
      </c>
      <c r="J54">
        <v>1360</v>
      </c>
      <c r="L54">
        <v>1355</v>
      </c>
      <c r="M54">
        <v>1343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53517</v>
      </c>
      <c r="C58">
        <v>25647</v>
      </c>
      <c r="D58">
        <v>19870</v>
      </c>
      <c r="E58">
        <v>37872</v>
      </c>
      <c r="F58">
        <v>56781</v>
      </c>
      <c r="G58">
        <v>35197</v>
      </c>
      <c r="H58">
        <v>8004</v>
      </c>
      <c r="I58">
        <v>3740</v>
      </c>
      <c r="J58">
        <v>3231</v>
      </c>
      <c r="L58">
        <v>8764</v>
      </c>
      <c r="M58">
        <v>25166</v>
      </c>
      <c r="N58">
        <v>850871452</v>
      </c>
      <c r="O58">
        <v>745341367</v>
      </c>
      <c r="P58">
        <v>361164198</v>
      </c>
      <c r="Q58">
        <v>805545046</v>
      </c>
      <c r="R58">
        <v>853371117</v>
      </c>
      <c r="S58">
        <v>799187975</v>
      </c>
      <c r="T58">
        <v>741567117</v>
      </c>
      <c r="U58">
        <v>738356567</v>
      </c>
      <c r="V58">
        <v>322172245</v>
      </c>
      <c r="X58">
        <v>741567117</v>
      </c>
      <c r="Y58">
        <v>741567117</v>
      </c>
    </row>
    <row r="59" spans="2:25" x14ac:dyDescent="0.25">
      <c r="B59">
        <v>53793</v>
      </c>
      <c r="C59">
        <v>24935</v>
      </c>
      <c r="D59">
        <v>18947</v>
      </c>
      <c r="E59">
        <v>38422</v>
      </c>
      <c r="F59">
        <v>58560</v>
      </c>
      <c r="G59">
        <v>35437</v>
      </c>
      <c r="H59">
        <v>7968</v>
      </c>
      <c r="I59">
        <v>3462</v>
      </c>
      <c r="J59">
        <v>3245</v>
      </c>
      <c r="L59">
        <v>10046</v>
      </c>
      <c r="M59">
        <v>26048</v>
      </c>
      <c r="N59">
        <v>850871452</v>
      </c>
      <c r="O59">
        <v>745341367</v>
      </c>
      <c r="P59">
        <v>361164198</v>
      </c>
      <c r="Q59">
        <v>805545046</v>
      </c>
      <c r="R59">
        <v>853371117</v>
      </c>
      <c r="S59">
        <v>799185975</v>
      </c>
      <c r="T59">
        <v>741567117</v>
      </c>
      <c r="U59">
        <v>738347767</v>
      </c>
      <c r="V59">
        <v>322172245</v>
      </c>
      <c r="X59">
        <v>741567117</v>
      </c>
      <c r="Y59">
        <v>741567117</v>
      </c>
    </row>
    <row r="60" spans="2:25" x14ac:dyDescent="0.25">
      <c r="B60">
        <v>52960</v>
      </c>
      <c r="C60">
        <v>24424</v>
      </c>
      <c r="D60">
        <v>19096</v>
      </c>
      <c r="E60">
        <v>38265</v>
      </c>
      <c r="F60">
        <v>59108</v>
      </c>
      <c r="G60">
        <v>35838</v>
      </c>
      <c r="H60">
        <v>7902</v>
      </c>
      <c r="I60">
        <v>3606</v>
      </c>
      <c r="J60">
        <v>3264</v>
      </c>
      <c r="L60">
        <v>9178</v>
      </c>
      <c r="M60">
        <v>24559</v>
      </c>
      <c r="N60">
        <v>850871452</v>
      </c>
      <c r="O60">
        <v>745341367</v>
      </c>
      <c r="P60">
        <v>361164198</v>
      </c>
      <c r="Q60">
        <v>805545046</v>
      </c>
      <c r="R60">
        <v>853371117</v>
      </c>
      <c r="S60">
        <v>799171375</v>
      </c>
      <c r="T60">
        <v>741567117</v>
      </c>
      <c r="U60">
        <v>738387367</v>
      </c>
      <c r="V60">
        <v>322172245</v>
      </c>
      <c r="X60">
        <v>741567117</v>
      </c>
      <c r="Y60">
        <v>741567117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88503</v>
      </c>
      <c r="C64">
        <v>47283</v>
      </c>
      <c r="D64">
        <v>28881</v>
      </c>
      <c r="E64">
        <v>180095</v>
      </c>
      <c r="F64">
        <v>92212</v>
      </c>
      <c r="G64">
        <v>124622</v>
      </c>
      <c r="H64">
        <v>23712</v>
      </c>
      <c r="I64">
        <v>6408</v>
      </c>
      <c r="J64">
        <v>5943</v>
      </c>
      <c r="L64">
        <v>22788</v>
      </c>
      <c r="M64">
        <v>45882</v>
      </c>
    </row>
    <row r="65" spans="2:13" x14ac:dyDescent="0.25">
      <c r="B65">
        <v>88133</v>
      </c>
      <c r="C65">
        <v>45663</v>
      </c>
      <c r="D65">
        <v>30029</v>
      </c>
      <c r="E65">
        <v>177339</v>
      </c>
      <c r="F65">
        <v>89091</v>
      </c>
      <c r="G65">
        <v>123750</v>
      </c>
      <c r="H65">
        <v>24334</v>
      </c>
      <c r="I65">
        <v>6135</v>
      </c>
      <c r="J65">
        <v>5855</v>
      </c>
      <c r="L65">
        <v>22569</v>
      </c>
      <c r="M65">
        <v>46275</v>
      </c>
    </row>
    <row r="66" spans="2:13" x14ac:dyDescent="0.25">
      <c r="B66">
        <v>89094</v>
      </c>
      <c r="C66">
        <v>47736</v>
      </c>
      <c r="D66">
        <v>28288</v>
      </c>
      <c r="E66">
        <v>176283</v>
      </c>
      <c r="F66">
        <v>89979</v>
      </c>
      <c r="G66">
        <v>123298</v>
      </c>
      <c r="H66">
        <v>24210</v>
      </c>
      <c r="I66">
        <v>6322</v>
      </c>
      <c r="J66">
        <v>5862</v>
      </c>
      <c r="L66">
        <v>23372</v>
      </c>
      <c r="M66">
        <v>49394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51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AVERAGE(Table87[Newtonsoft])</f>
        <v>143408.33333333334</v>
      </c>
      <c r="D38" s="2">
        <f>AVERAGE(Table87[Revenj])</f>
        <v>146857</v>
      </c>
      <c r="E38" s="2">
        <f>AVERAGE(Table87[ProtoBuf (binary reference)])</f>
        <v>140797.33333333334</v>
      </c>
      <c r="F38" s="2">
        <f>AVERAGE(Table87[Service Stack])</f>
        <v>144767.33333333334</v>
      </c>
      <c r="G38" s="2">
        <f>AVERAGE(Table87[Jil])</f>
        <v>139288.33333333334</v>
      </c>
      <c r="H38" s="2">
        <f>AVERAGE(Table87[NetJSON])</f>
        <v>149700.33333333334</v>
      </c>
      <c r="I38" s="2">
        <f>AVERAGE(Table87[Jackson])</f>
        <v>11529.333333333334</v>
      </c>
      <c r="J38" s="2">
        <f>AVERAGE(Table87[DSL-JSON])</f>
        <v>11357</v>
      </c>
      <c r="K38" s="2">
        <f>AVERAGE(Table87[Kryo (binary reference)])</f>
        <v>11316</v>
      </c>
      <c r="L38" s="2" t="e">
        <f>AVERAGE(Table87[Boon])</f>
        <v>#DIV/0!</v>
      </c>
      <c r="M38" s="2">
        <f>AVERAGE(Table87[Alibaba])</f>
        <v>11508.333333333334</v>
      </c>
      <c r="N38" s="2">
        <f>AVERAGE(Table87[Gson])</f>
        <v>11287.666666666666</v>
      </c>
      <c r="O38" s="2"/>
      <c r="P38" s="2"/>
      <c r="Q38" s="2"/>
    </row>
    <row r="39" spans="2:17" x14ac:dyDescent="0.25">
      <c r="B39" t="s">
        <v>0</v>
      </c>
      <c r="C39" s="2">
        <f>AVERAGE(Table86[Newtonsoft]) - C38</f>
        <v>403286</v>
      </c>
      <c r="D39" s="2">
        <f>AVERAGE(Table86[Revenj]) - D38</f>
        <v>99486.333333333343</v>
      </c>
      <c r="E39" s="2">
        <f>AVERAGE(Table86[ProtoBuf (binary reference)]) - E38</f>
        <v>55934</v>
      </c>
      <c r="F39" s="2">
        <f>AVERAGE(Table86[Service Stack]) - F38</f>
        <v>240508.33333333334</v>
      </c>
      <c r="G39" s="2">
        <f>AVERAGE(Table86[Jil]) - G38</f>
        <v>440149.33333333326</v>
      </c>
      <c r="H39" s="2">
        <f>AVERAGE(Table86[NetJSON]) - H38</f>
        <v>216158.33333333334</v>
      </c>
      <c r="I39" s="2">
        <f>AVERAGE(Table86[Jackson]) - I38</f>
        <v>65513.999999999993</v>
      </c>
      <c r="J39" s="2">
        <f>AVERAGE(Table86[DSL-JSON]) - J38</f>
        <v>21734</v>
      </c>
      <c r="K39" s="2">
        <f>AVERAGE(Table86[Kryo (binary reference)]) - K38</f>
        <v>18210.333333333332</v>
      </c>
      <c r="L39" s="2" t="e">
        <f>AVERAGE(Table86[Boon]) - L38</f>
        <v>#DIV/0!</v>
      </c>
      <c r="M39" s="2">
        <f>AVERAGE(Table86[Alibaba]) - M38</f>
        <v>73519.666666666672</v>
      </c>
      <c r="N39" s="2">
        <f>AVERAGE(Table86[Gson]) - N38</f>
        <v>238497.33333333334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369393.66666666663</v>
      </c>
      <c r="D40" s="2">
        <f t="shared" si="0"/>
        <v>220314</v>
      </c>
      <c r="E40" s="2">
        <f t="shared" ref="E40" si="1">E41 - E39 - E38</f>
        <v>93404.666666666657</v>
      </c>
      <c r="F40" s="2">
        <f t="shared" si="0"/>
        <v>1407572.0000000002</v>
      </c>
      <c r="G40" s="2">
        <f t="shared" si="0"/>
        <v>328337</v>
      </c>
      <c r="H40" s="2">
        <f t="shared" si="0"/>
        <v>867790.66666666651</v>
      </c>
      <c r="I40" s="2">
        <f t="shared" ref="I40" si="2">I41 - I39 - I38</f>
        <v>164991.66666666666</v>
      </c>
      <c r="J40" s="2">
        <f t="shared" ref="J40" si="3">J41 - J39 - J38</f>
        <v>26328</v>
      </c>
      <c r="K40" s="2">
        <f t="shared" ref="K40:L40" si="4">K41 - K39 - K38</f>
        <v>25216.333333333328</v>
      </c>
      <c r="L40" s="2" t="e">
        <f t="shared" si="4"/>
        <v>#DIV/0!</v>
      </c>
      <c r="M40" s="2">
        <f t="shared" ref="M40" si="5">M41 - M39 - M38</f>
        <v>142858.33333333334</v>
      </c>
      <c r="N40" s="2">
        <f t="shared" ref="N40" si="6">N41 - N39 - N38</f>
        <v>213874</v>
      </c>
      <c r="O40" s="2"/>
      <c r="P40" s="2"/>
      <c r="Q40" s="2"/>
    </row>
    <row r="41" spans="2:17" x14ac:dyDescent="0.25">
      <c r="B41" t="s">
        <v>23</v>
      </c>
      <c r="C41" s="2">
        <f>AVERAGE(Table88[Newtonsoft])</f>
        <v>916088</v>
      </c>
      <c r="D41" s="2">
        <f>AVERAGE(Table88[Revenj])</f>
        <v>466657.33333333331</v>
      </c>
      <c r="E41" s="2">
        <f>AVERAGE(Table88[ProtoBuf (binary reference)])</f>
        <v>290136</v>
      </c>
      <c r="F41" s="2">
        <f>AVERAGE(Table88[Service Stack])</f>
        <v>1792847.6666666667</v>
      </c>
      <c r="G41" s="2">
        <f>AVERAGE(Table88[Jil])</f>
        <v>907774.66666666663</v>
      </c>
      <c r="H41" s="2">
        <f>AVERAGE(Table88[NetJSON])</f>
        <v>1233649.3333333333</v>
      </c>
      <c r="I41" s="2">
        <f>AVERAGE(Table88[Jackson])</f>
        <v>242035</v>
      </c>
      <c r="J41" s="2">
        <f>AVERAGE(Table88[DSL-JSON])</f>
        <v>59419</v>
      </c>
      <c r="K41" s="2">
        <f>AVERAGE(Table88[Kryo (binary reference)])</f>
        <v>54742.666666666664</v>
      </c>
      <c r="L41" s="2" t="e">
        <f>AVERAGE(Table88[Boon])</f>
        <v>#DIV/0!</v>
      </c>
      <c r="M41" s="2">
        <f>AVERAGE(Table88[Alibaba])</f>
        <v>227886.33333333334</v>
      </c>
      <c r="N41" s="2">
        <f>AVERAGE(Table88[Gson])</f>
        <v>463659</v>
      </c>
      <c r="O41" s="2"/>
      <c r="P41" s="2"/>
      <c r="Q41" s="2"/>
    </row>
    <row r="42" spans="2:17" x14ac:dyDescent="0.25">
      <c r="B42" t="s">
        <v>4</v>
      </c>
      <c r="C42" s="3">
        <f>AVERAGE(Table86[Newtonsoft (size)])</f>
        <v>8612705452</v>
      </c>
      <c r="D42" s="3">
        <f>AVERAGE(Table86[Revenj (size)])</f>
        <v>7557405367</v>
      </c>
      <c r="E42" s="3">
        <f>AVERAGE(Table86[ProtoBuf (size)])</f>
        <v>3713376198</v>
      </c>
      <c r="F42" s="3">
        <f>AVERAGE(Table86[Service Stack (size)])</f>
        <v>8204343046</v>
      </c>
      <c r="G42" s="2">
        <f>AVERAGE(Table86[Jil (size)])</f>
        <v>8637702117</v>
      </c>
      <c r="H42" s="2">
        <f>AVERAGE(Table86[NetJSON (size)])</f>
        <v>8095827375</v>
      </c>
      <c r="I42" s="2">
        <f>AVERAGE(Table86[Jackson (size)])</f>
        <v>7519662117</v>
      </c>
      <c r="J42" s="2">
        <f>AVERAGE(Table86[DSL-JSON (size)])</f>
        <v>7487696700.333333</v>
      </c>
      <c r="K42" s="2">
        <f>AVERAGE(Table86[Kryo (size)])</f>
        <v>3323159245</v>
      </c>
      <c r="L42" s="2" t="e">
        <f>AVERAGE(Table86[Boon (size)])</f>
        <v>#DIV/0!</v>
      </c>
      <c r="M42" s="2">
        <f>AVERAGE(Table86[Alibaba (size)])</f>
        <v>7519662117</v>
      </c>
      <c r="N42" s="2">
        <f>AVERAGE(Table86[Gson (size)])</f>
        <v>7519662117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DEVSQ(Table86[Newtonsoft])</f>
        <v>249002128.66666669</v>
      </c>
      <c r="D47" s="2">
        <f>DEVSQ(Table86[Revenj])</f>
        <v>31770204.666666668</v>
      </c>
      <c r="E47" s="2">
        <f>DEVSQ(Table86[ProtoBuf (binary reference)])</f>
        <v>197989880.66666666</v>
      </c>
      <c r="F47" s="2">
        <f>DEVSQ(Table86[Service Stack])</f>
        <v>81862820.666666657</v>
      </c>
      <c r="G47" s="2">
        <f>DEVSQ(Table86[Jil])</f>
        <v>46367920.666666672</v>
      </c>
      <c r="H47" s="2">
        <f>DEVSQ(Table86[NetJSON])</f>
        <v>320625820.66666669</v>
      </c>
      <c r="I47" s="2">
        <f>DEVSQ(Table86[Jackson])</f>
        <v>6621000.666666666</v>
      </c>
      <c r="J47" s="2">
        <f>DEVSQ(Table86[DSL-JSON])</f>
        <v>405362</v>
      </c>
      <c r="K47" s="2">
        <f>DEVSQ(Table86[Kryo (binary reference)])</f>
        <v>435644.66666666669</v>
      </c>
      <c r="L47" s="2" t="e">
        <f>DEVSQ(Table86[Boon])</f>
        <v>#NUM!</v>
      </c>
      <c r="M47" s="2">
        <f>DEVSQ(Table86[Alibaba])</f>
        <v>1629554</v>
      </c>
      <c r="N47" s="2">
        <f>DEVSQ(Table86[Gson])</f>
        <v>30819038</v>
      </c>
      <c r="O47" s="2"/>
      <c r="P47" s="2"/>
      <c r="Q47" s="2"/>
    </row>
    <row r="48" spans="2:17" x14ac:dyDescent="0.25">
      <c r="B48" t="s">
        <v>23</v>
      </c>
      <c r="C48" s="2">
        <f>DEVSQ(Table88[Newtonsoft])</f>
        <v>601611326</v>
      </c>
      <c r="D48" s="2">
        <f>DEVSQ(Table88[Revenj])</f>
        <v>203221052.66666666</v>
      </c>
      <c r="E48" s="2">
        <f>DEVSQ(Table88[ProtoBuf (binary reference)])</f>
        <v>73189752</v>
      </c>
      <c r="F48" s="2">
        <f>DEVSQ(Table88[Service Stack])</f>
        <v>2695500644.666667</v>
      </c>
      <c r="G48" s="2">
        <f>DEVSQ(Table88[Jil])</f>
        <v>1539632980.6666667</v>
      </c>
      <c r="H48" s="2">
        <f>DEVSQ(Table88[NetJSON])</f>
        <v>260675018.66666669</v>
      </c>
      <c r="I48" s="2">
        <f>DEVSQ(Table88[Jackson])</f>
        <v>15899766</v>
      </c>
      <c r="J48" s="2">
        <f>DEVSQ(Table88[DSL-JSON])</f>
        <v>982994</v>
      </c>
      <c r="K48" s="2">
        <f>DEVSQ(Table88[Kryo (binary reference)])</f>
        <v>2953892.6666666665</v>
      </c>
      <c r="L48" s="2" t="e">
        <f>DEVSQ(Table88[Boon])</f>
        <v>#NUM!</v>
      </c>
      <c r="M48" s="2">
        <f>DEVSQ(Table88[Alibaba])</f>
        <v>64541192.666666664</v>
      </c>
      <c r="N48" s="2">
        <f>DEVSQ(Table88[Gson])</f>
        <v>159888512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139861</v>
      </c>
      <c r="C52">
        <v>141769</v>
      </c>
      <c r="D52">
        <v>134695</v>
      </c>
      <c r="E52">
        <v>145618</v>
      </c>
      <c r="F52">
        <v>135172</v>
      </c>
      <c r="G52">
        <v>160251</v>
      </c>
      <c r="H52">
        <v>11505</v>
      </c>
      <c r="I52">
        <v>11242</v>
      </c>
      <c r="J52">
        <v>11364</v>
      </c>
      <c r="L52">
        <v>11586</v>
      </c>
      <c r="M52">
        <v>11582</v>
      </c>
    </row>
    <row r="53" spans="2:25" x14ac:dyDescent="0.25">
      <c r="B53">
        <v>144296</v>
      </c>
      <c r="C53">
        <v>145464</v>
      </c>
      <c r="D53">
        <v>141586</v>
      </c>
      <c r="E53">
        <v>146133</v>
      </c>
      <c r="F53">
        <v>139919</v>
      </c>
      <c r="G53">
        <v>150813</v>
      </c>
      <c r="H53">
        <v>11531</v>
      </c>
      <c r="I53">
        <v>11298</v>
      </c>
      <c r="J53">
        <v>11333</v>
      </c>
      <c r="L53">
        <v>11545</v>
      </c>
      <c r="M53">
        <v>11157</v>
      </c>
    </row>
    <row r="54" spans="2:25" x14ac:dyDescent="0.25">
      <c r="B54">
        <v>146068</v>
      </c>
      <c r="C54">
        <v>153338</v>
      </c>
      <c r="D54">
        <v>146111</v>
      </c>
      <c r="E54">
        <v>142551</v>
      </c>
      <c r="F54">
        <v>142774</v>
      </c>
      <c r="G54">
        <v>138037</v>
      </c>
      <c r="H54">
        <v>11552</v>
      </c>
      <c r="I54">
        <v>11531</v>
      </c>
      <c r="J54">
        <v>11251</v>
      </c>
      <c r="L54">
        <v>11394</v>
      </c>
      <c r="M54">
        <v>11124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545295</v>
      </c>
      <c r="C58">
        <v>242473</v>
      </c>
      <c r="D58">
        <v>186421</v>
      </c>
      <c r="E58">
        <v>389340</v>
      </c>
      <c r="F58">
        <v>577194</v>
      </c>
      <c r="G58">
        <v>362623</v>
      </c>
      <c r="H58">
        <v>76569</v>
      </c>
      <c r="I58">
        <v>33526</v>
      </c>
      <c r="J58">
        <v>30001</v>
      </c>
      <c r="L58">
        <v>84645</v>
      </c>
      <c r="M58">
        <v>245295</v>
      </c>
      <c r="N58">
        <v>8612705452</v>
      </c>
      <c r="O58">
        <v>7557405367</v>
      </c>
      <c r="P58">
        <v>3713376198</v>
      </c>
      <c r="Q58">
        <v>8204343046</v>
      </c>
      <c r="R58">
        <v>8637702117</v>
      </c>
      <c r="S58">
        <v>8095733375</v>
      </c>
      <c r="T58">
        <v>7519662117</v>
      </c>
      <c r="U58">
        <v>7487381367</v>
      </c>
      <c r="V58">
        <v>3323159245</v>
      </c>
      <c r="X58">
        <v>7519662117</v>
      </c>
      <c r="Y58">
        <v>7519662117</v>
      </c>
    </row>
    <row r="59" spans="2:25" x14ac:dyDescent="0.25">
      <c r="B59">
        <v>536302</v>
      </c>
      <c r="C59">
        <v>246122</v>
      </c>
      <c r="D59">
        <v>206276</v>
      </c>
      <c r="E59">
        <v>377901</v>
      </c>
      <c r="F59">
        <v>576154</v>
      </c>
      <c r="G59">
        <v>379824</v>
      </c>
      <c r="H59">
        <v>75508</v>
      </c>
      <c r="I59">
        <v>32627</v>
      </c>
      <c r="J59">
        <v>29510</v>
      </c>
      <c r="L59">
        <v>84380</v>
      </c>
      <c r="M59">
        <v>252568</v>
      </c>
      <c r="N59">
        <v>8612705452</v>
      </c>
      <c r="O59">
        <v>7557405367</v>
      </c>
      <c r="P59">
        <v>3713376198</v>
      </c>
      <c r="Q59">
        <v>8204343046</v>
      </c>
      <c r="R59">
        <v>8637702117</v>
      </c>
      <c r="S59">
        <v>8095811375</v>
      </c>
      <c r="T59">
        <v>7519662117</v>
      </c>
      <c r="U59">
        <v>7487931367</v>
      </c>
      <c r="V59">
        <v>3323159245</v>
      </c>
      <c r="X59">
        <v>7519662117</v>
      </c>
      <c r="Y59">
        <v>7519662117</v>
      </c>
    </row>
    <row r="60" spans="2:25" x14ac:dyDescent="0.25">
      <c r="B60">
        <v>558486</v>
      </c>
      <c r="C60">
        <v>250435</v>
      </c>
      <c r="D60">
        <v>197497</v>
      </c>
      <c r="E60">
        <v>388586</v>
      </c>
      <c r="F60">
        <v>584965</v>
      </c>
      <c r="G60">
        <v>355129</v>
      </c>
      <c r="H60">
        <v>79053</v>
      </c>
      <c r="I60">
        <v>33120</v>
      </c>
      <c r="J60">
        <v>29068</v>
      </c>
      <c r="L60">
        <v>86059</v>
      </c>
      <c r="M60">
        <v>251492</v>
      </c>
      <c r="N60">
        <v>8612705452</v>
      </c>
      <c r="O60">
        <v>7557405367</v>
      </c>
      <c r="P60">
        <v>3713376198</v>
      </c>
      <c r="Q60">
        <v>8204343046</v>
      </c>
      <c r="R60">
        <v>8637702117</v>
      </c>
      <c r="S60">
        <v>8095937375</v>
      </c>
      <c r="T60">
        <v>7519662117</v>
      </c>
      <c r="U60">
        <v>7487777367</v>
      </c>
      <c r="V60">
        <v>3323159245</v>
      </c>
      <c r="X60">
        <v>7519662117</v>
      </c>
      <c r="Y60">
        <v>7519662117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933714</v>
      </c>
      <c r="C64">
        <v>478017</v>
      </c>
      <c r="D64">
        <v>294020</v>
      </c>
      <c r="E64">
        <v>1770064</v>
      </c>
      <c r="F64">
        <v>929759</v>
      </c>
      <c r="G64">
        <v>1227080</v>
      </c>
      <c r="H64">
        <v>242124</v>
      </c>
      <c r="I64">
        <v>58611</v>
      </c>
      <c r="J64">
        <v>53605</v>
      </c>
      <c r="L64">
        <v>234412</v>
      </c>
      <c r="M64">
        <v>457259</v>
      </c>
    </row>
    <row r="65" spans="2:13" x14ac:dyDescent="0.25">
      <c r="B65">
        <v>899041</v>
      </c>
      <c r="C65">
        <v>458780</v>
      </c>
      <c r="D65">
        <v>283166</v>
      </c>
      <c r="E65">
        <v>1835198</v>
      </c>
      <c r="F65">
        <v>876600</v>
      </c>
      <c r="G65">
        <v>1246832</v>
      </c>
      <c r="H65">
        <v>239172</v>
      </c>
      <c r="I65">
        <v>59780</v>
      </c>
      <c r="J65">
        <v>56023</v>
      </c>
      <c r="L65">
        <v>224047</v>
      </c>
      <c r="M65">
        <v>473875</v>
      </c>
    </row>
    <row r="66" spans="2:13" x14ac:dyDescent="0.25">
      <c r="B66">
        <v>915509</v>
      </c>
      <c r="C66">
        <v>463175</v>
      </c>
      <c r="D66">
        <v>293222</v>
      </c>
      <c r="E66">
        <v>1773281</v>
      </c>
      <c r="F66">
        <v>916965</v>
      </c>
      <c r="G66">
        <v>1227036</v>
      </c>
      <c r="H66">
        <v>244809</v>
      </c>
      <c r="I66">
        <v>59866</v>
      </c>
      <c r="J66">
        <v>54600</v>
      </c>
      <c r="L66">
        <v>225200</v>
      </c>
      <c r="M66">
        <v>459843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52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AVERAGE(Table92[Newtonsoft])</f>
        <v>1079</v>
      </c>
      <c r="D38" s="2">
        <f>AVERAGE(Table92[Revenj])</f>
        <v>1073.6666666666667</v>
      </c>
      <c r="E38" s="2">
        <f>AVERAGE(Table92[ProtoBuf (binary reference)])</f>
        <v>1041.6666666666667</v>
      </c>
      <c r="F38" s="2" t="e">
        <f>AVERAGE(Table92[Service Stack])</f>
        <v>#DIV/0!</v>
      </c>
      <c r="G38" s="2" t="e">
        <f>AVERAGE(Table92[Jil])</f>
        <v>#DIV/0!</v>
      </c>
      <c r="H38" s="2" t="e">
        <f>AVERAGE(Table92[NetJSON])</f>
        <v>#DIV/0!</v>
      </c>
      <c r="I38" s="2">
        <f>AVERAGE(Table92[Jackson])</f>
        <v>287.66666666666669</v>
      </c>
      <c r="J38" s="2">
        <f>AVERAGE(Table92[DSL-JSON])</f>
        <v>312</v>
      </c>
      <c r="K38" s="2">
        <f>AVERAGE(Table92[Kryo (binary reference)])</f>
        <v>306.66666666666669</v>
      </c>
      <c r="L38" s="2" t="e">
        <f>AVERAGE(Table92[Boon])</f>
        <v>#DIV/0!</v>
      </c>
      <c r="M38" s="2" t="e">
        <f>AVERAGE(Table92[Alibaba])</f>
        <v>#DIV/0!</v>
      </c>
      <c r="N38" s="2" t="e">
        <f>AVERAGE(Table92[Gson])</f>
        <v>#DIV/0!</v>
      </c>
      <c r="O38" s="2"/>
      <c r="P38" s="2"/>
      <c r="Q38" s="2"/>
    </row>
    <row r="39" spans="2:17" x14ac:dyDescent="0.25">
      <c r="B39" t="s">
        <v>0</v>
      </c>
      <c r="C39" s="2">
        <f>AVERAGE(Table91[Newtonsoft]) - C38</f>
        <v>2088.3333333333335</v>
      </c>
      <c r="D39" s="2">
        <f>AVERAGE(Table91[Revenj]) - D38</f>
        <v>714.33333333333326</v>
      </c>
      <c r="E39" s="2">
        <f>AVERAGE(Table91[ProtoBuf (binary reference)]) - E38</f>
        <v>410.66666666666652</v>
      </c>
      <c r="F39" s="2" t="e">
        <f>AVERAGE(Table91[Service Stack]) - F38</f>
        <v>#DIV/0!</v>
      </c>
      <c r="G39" s="2" t="e">
        <f>AVERAGE(Table91[Jil]) - G38</f>
        <v>#DIV/0!</v>
      </c>
      <c r="H39" s="2" t="e">
        <f>AVERAGE(Table91[NetJSON]) - H38</f>
        <v>#DIV/0!</v>
      </c>
      <c r="I39" s="2">
        <f>AVERAGE(Table91[Jackson]) - I38</f>
        <v>742.66666666666652</v>
      </c>
      <c r="J39" s="2">
        <f>AVERAGE(Table91[DSL-JSON]) - J38</f>
        <v>240</v>
      </c>
      <c r="K39" s="2">
        <f>AVERAGE(Table91[Kryo (binary reference)]) - K38</f>
        <v>223.99999999999994</v>
      </c>
      <c r="L39" s="2" t="e">
        <f>AVERAGE(Table91[Boon]) - L38</f>
        <v>#DIV/0!</v>
      </c>
      <c r="M39" s="2" t="e">
        <f>AVERAGE(Table91[Alibaba]) - M38</f>
        <v>#DIV/0!</v>
      </c>
      <c r="N39" s="2" t="e">
        <f>AVERAGE(Table91[Gson]) - N38</f>
        <v>#DIV/0!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2893.3333333333335</v>
      </c>
      <c r="D40" s="2">
        <f t="shared" si="0"/>
        <v>2037.3333333333333</v>
      </c>
      <c r="E40" s="2">
        <f t="shared" ref="E40" si="1">E41 - E39 - E38</f>
        <v>747.33333333333326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1665.3333333333333</v>
      </c>
      <c r="J40" s="2">
        <f t="shared" ref="J40" si="3">J41 - J39 - J38</f>
        <v>211.66666666666663</v>
      </c>
      <c r="K40" s="2">
        <f t="shared" ref="K40:L40" si="4">K41 - K39 - K38</f>
        <v>206.33333333333331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 x14ac:dyDescent="0.25">
      <c r="B41" t="s">
        <v>23</v>
      </c>
      <c r="C41" s="2">
        <f>AVERAGE(Table93[Newtonsoft])</f>
        <v>6060.666666666667</v>
      </c>
      <c r="D41" s="2">
        <f>AVERAGE(Table93[Revenj])</f>
        <v>3825.3333333333335</v>
      </c>
      <c r="E41" s="2">
        <f>AVERAGE(Table93[ProtoBuf (binary reference)])</f>
        <v>2199.6666666666665</v>
      </c>
      <c r="F41" s="2" t="e">
        <f>AVERAGE(Table93[Service Stack])</f>
        <v>#DIV/0!</v>
      </c>
      <c r="G41" s="2" t="e">
        <f>AVERAGE(Table93[Jil])</f>
        <v>#DIV/0!</v>
      </c>
      <c r="H41" s="2" t="e">
        <f>AVERAGE(Table93[NetJSON])</f>
        <v>#DIV/0!</v>
      </c>
      <c r="I41" s="2">
        <f>AVERAGE(Table93[Jackson])</f>
        <v>2695.6666666666665</v>
      </c>
      <c r="J41" s="2">
        <f>AVERAGE(Table93[DSL-JSON])</f>
        <v>763.66666666666663</v>
      </c>
      <c r="K41" s="2">
        <f>AVERAGE(Table93[Kryo (binary reference)])</f>
        <v>737</v>
      </c>
      <c r="L41" s="2" t="e">
        <f>AVERAGE(Table93[Boon])</f>
        <v>#DIV/0!</v>
      </c>
      <c r="M41" s="2" t="e">
        <f>AVERAGE(Table93[Alibaba])</f>
        <v>#DIV/0!</v>
      </c>
      <c r="N41" s="2" t="e">
        <f>AVERAGE(Table93[Gson])</f>
        <v>#DIV/0!</v>
      </c>
      <c r="O41" s="2"/>
      <c r="P41" s="2"/>
      <c r="Q41" s="2"/>
    </row>
    <row r="42" spans="2:17" x14ac:dyDescent="0.25">
      <c r="B42" t="s">
        <v>4</v>
      </c>
      <c r="C42" s="3">
        <f>AVERAGE(Table91[Newtonsoft (size)])</f>
        <v>53427744</v>
      </c>
      <c r="D42" s="3">
        <f>AVERAGE(Table91[Revenj (size)])</f>
        <v>49266708</v>
      </c>
      <c r="E42" s="3">
        <f>AVERAGE(Table91[ProtoBuf (size)])</f>
        <v>22929726</v>
      </c>
      <c r="F42" s="3" t="e">
        <f>AVERAGE(Table91[Service Stack (size)])</f>
        <v>#DIV/0!</v>
      </c>
      <c r="G42" s="2" t="e">
        <f>AVERAGE(Table91[Jil (size)])</f>
        <v>#DIV/0!</v>
      </c>
      <c r="H42" s="2" t="e">
        <f>AVERAGE(Table91[NetJSON (size)])</f>
        <v>#DIV/0!</v>
      </c>
      <c r="I42" s="2">
        <f>AVERAGE(Table91[Jackson (size)])</f>
        <v>48174191</v>
      </c>
      <c r="J42" s="2">
        <f>AVERAGE(Table91[DSL-JSON (size)])</f>
        <v>48172180</v>
      </c>
      <c r="K42" s="2">
        <f>AVERAGE(Table91[Kryo (size)])</f>
        <v>20305710</v>
      </c>
      <c r="L42" s="2" t="e">
        <f>AVERAGE(Table91[Boon (size)])</f>
        <v>#DIV/0!</v>
      </c>
      <c r="M42" s="2" t="e">
        <f>AVERAGE(Table91[Alibaba (size)])</f>
        <v>#DIV/0!</v>
      </c>
      <c r="N42" s="2" t="e">
        <f>AVERAGE(Table91[Gson (size)])</f>
        <v>#DIV/0!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DEVSQ(Table91[Newtonsoft])</f>
        <v>4516.666666666667</v>
      </c>
      <c r="D47" s="2">
        <f>DEVSQ(Table91[Revenj])</f>
        <v>3038</v>
      </c>
      <c r="E47" s="2">
        <f>DEVSQ(Table91[ProtoBuf (binary reference)])</f>
        <v>3722.6666666666661</v>
      </c>
      <c r="F47" s="2" t="e">
        <f>DEVSQ(Table91[Service Stack])</f>
        <v>#NUM!</v>
      </c>
      <c r="G47" s="2" t="e">
        <f>DEVSQ(Table91[Jil])</f>
        <v>#NUM!</v>
      </c>
      <c r="H47" s="2" t="e">
        <f>DEVSQ(Table91[NetJSON])</f>
        <v>#NUM!</v>
      </c>
      <c r="I47" s="2">
        <f>DEVSQ(Table91[Jackson])</f>
        <v>20.666666666666668</v>
      </c>
      <c r="J47" s="2">
        <f>DEVSQ(Table91[DSL-JSON])</f>
        <v>234</v>
      </c>
      <c r="K47" s="2">
        <f>DEVSQ(Table91[Kryo (binary reference)])</f>
        <v>200.66666666666669</v>
      </c>
      <c r="L47" s="2" t="e">
        <f>DEVSQ(Table91[Boon])</f>
        <v>#NUM!</v>
      </c>
      <c r="M47" s="2" t="e">
        <f>DEVSQ(Table91[Alibaba])</f>
        <v>#NUM!</v>
      </c>
      <c r="N47" s="2" t="e">
        <f>DEVSQ(Table91[Gson])</f>
        <v>#NUM!</v>
      </c>
      <c r="O47" s="2"/>
      <c r="P47" s="2"/>
      <c r="Q47" s="2"/>
    </row>
    <row r="48" spans="2:17" x14ac:dyDescent="0.25">
      <c r="B48" t="s">
        <v>23</v>
      </c>
      <c r="C48" s="2">
        <f>DEVSQ(Table93[Newtonsoft])</f>
        <v>3784.6666666666665</v>
      </c>
      <c r="D48" s="2">
        <f>DEVSQ(Table93[Revenj])</f>
        <v>4584.666666666667</v>
      </c>
      <c r="E48" s="2">
        <f>DEVSQ(Table93[ProtoBuf (binary reference)])</f>
        <v>3232.666666666667</v>
      </c>
      <c r="F48" s="2" t="e">
        <f>DEVSQ(Table93[Service Stack])</f>
        <v>#NUM!</v>
      </c>
      <c r="G48" s="2" t="e">
        <f>DEVSQ(Table93[Jil])</f>
        <v>#NUM!</v>
      </c>
      <c r="H48" s="2" t="e">
        <f>DEVSQ(Table93[NetJSON])</f>
        <v>#NUM!</v>
      </c>
      <c r="I48" s="2">
        <f>DEVSQ(Table93[Jackson])</f>
        <v>332.66666666666663</v>
      </c>
      <c r="J48" s="2">
        <f>DEVSQ(Table93[DSL-JSON])</f>
        <v>194.66666666666669</v>
      </c>
      <c r="K48" s="2">
        <f>DEVSQ(Table93[Kryo (binary reference)])</f>
        <v>72</v>
      </c>
      <c r="L48" s="2" t="e">
        <f>DEVSQ(Table93[Boon])</f>
        <v>#NUM!</v>
      </c>
      <c r="M48" s="2" t="e">
        <f>DEVSQ(Table93[Alibaba])</f>
        <v>#NUM!</v>
      </c>
      <c r="N48" s="2" t="e">
        <f>DEVSQ(Table93[Gson])</f>
        <v>#NUM!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1057</v>
      </c>
      <c r="C52">
        <v>1080</v>
      </c>
      <c r="D52">
        <v>1027</v>
      </c>
      <c r="H52">
        <v>285</v>
      </c>
      <c r="I52">
        <v>310</v>
      </c>
      <c r="J52">
        <v>309</v>
      </c>
    </row>
    <row r="53" spans="2:25" x14ac:dyDescent="0.25">
      <c r="B53">
        <v>1069</v>
      </c>
      <c r="C53">
        <v>1072</v>
      </c>
      <c r="D53">
        <v>1043</v>
      </c>
      <c r="H53">
        <v>289</v>
      </c>
      <c r="I53">
        <v>305</v>
      </c>
      <c r="J53">
        <v>303</v>
      </c>
    </row>
    <row r="54" spans="2:25" x14ac:dyDescent="0.25">
      <c r="B54">
        <v>1111</v>
      </c>
      <c r="C54">
        <v>1069</v>
      </c>
      <c r="D54">
        <v>1055</v>
      </c>
      <c r="H54">
        <v>289</v>
      </c>
      <c r="I54">
        <v>321</v>
      </c>
      <c r="J54">
        <v>308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3119</v>
      </c>
      <c r="C58">
        <v>1821</v>
      </c>
      <c r="D58">
        <v>1403</v>
      </c>
      <c r="H58">
        <v>1028</v>
      </c>
      <c r="I58">
        <v>543</v>
      </c>
      <c r="J58">
        <v>523</v>
      </c>
      <c r="N58">
        <v>53427744</v>
      </c>
      <c r="O58">
        <v>49485608</v>
      </c>
      <c r="P58">
        <v>22929726</v>
      </c>
      <c r="T58">
        <v>48174191</v>
      </c>
      <c r="U58">
        <v>48172180</v>
      </c>
      <c r="V58">
        <v>20305710</v>
      </c>
    </row>
    <row r="59" spans="2:25" x14ac:dyDescent="0.25">
      <c r="B59">
        <v>3169</v>
      </c>
      <c r="C59">
        <v>1798</v>
      </c>
      <c r="D59">
        <v>1471</v>
      </c>
      <c r="H59">
        <v>1034</v>
      </c>
      <c r="I59">
        <v>549</v>
      </c>
      <c r="J59">
        <v>542</v>
      </c>
      <c r="N59">
        <v>53427744</v>
      </c>
      <c r="O59">
        <v>48828908</v>
      </c>
      <c r="P59">
        <v>22929726</v>
      </c>
      <c r="T59">
        <v>48174191</v>
      </c>
      <c r="U59">
        <v>48172180</v>
      </c>
      <c r="V59">
        <v>20305710</v>
      </c>
    </row>
    <row r="60" spans="2:25" x14ac:dyDescent="0.25">
      <c r="B60">
        <v>3214</v>
      </c>
      <c r="C60">
        <v>1745</v>
      </c>
      <c r="D60">
        <v>1483</v>
      </c>
      <c r="H60">
        <v>1029</v>
      </c>
      <c r="I60">
        <v>564</v>
      </c>
      <c r="J60">
        <v>527</v>
      </c>
      <c r="N60">
        <v>53427744</v>
      </c>
      <c r="O60">
        <v>49485608</v>
      </c>
      <c r="P60">
        <v>22929726</v>
      </c>
      <c r="T60">
        <v>48174191</v>
      </c>
      <c r="U60">
        <v>48172180</v>
      </c>
      <c r="V60">
        <v>20305710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6079</v>
      </c>
      <c r="C64">
        <v>3810</v>
      </c>
      <c r="D64">
        <v>2246</v>
      </c>
      <c r="H64">
        <v>2710</v>
      </c>
      <c r="I64">
        <v>759</v>
      </c>
      <c r="J64">
        <v>731</v>
      </c>
    </row>
    <row r="65" spans="2:10" x14ac:dyDescent="0.25">
      <c r="B65">
        <v>6011</v>
      </c>
      <c r="C65">
        <v>3879</v>
      </c>
      <c r="D65">
        <v>2174</v>
      </c>
      <c r="H65">
        <v>2685</v>
      </c>
      <c r="I65">
        <v>775</v>
      </c>
      <c r="J65">
        <v>737</v>
      </c>
    </row>
    <row r="66" spans="2:10" x14ac:dyDescent="0.25">
      <c r="B66">
        <v>6092</v>
      </c>
      <c r="C66">
        <v>3787</v>
      </c>
      <c r="D66">
        <v>2179</v>
      </c>
      <c r="H66">
        <v>2692</v>
      </c>
      <c r="I66">
        <v>757</v>
      </c>
      <c r="J66">
        <v>743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53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AVERAGE(Table97[Newtonsoft])</f>
        <v>76436.666666666672</v>
      </c>
      <c r="D38" s="2">
        <f>AVERAGE(Table97[Revenj])</f>
        <v>74178.666666666672</v>
      </c>
      <c r="E38" s="2">
        <f>AVERAGE(Table97[ProtoBuf (binary reference)])</f>
        <v>73050.666666666672</v>
      </c>
      <c r="F38" s="2" t="e">
        <f>AVERAGE(Table97[Service Stack])</f>
        <v>#DIV/0!</v>
      </c>
      <c r="G38" s="2" t="e">
        <f>AVERAGE(Table97[Jil])</f>
        <v>#DIV/0!</v>
      </c>
      <c r="H38" s="2" t="e">
        <f>AVERAGE(Table97[NetJSON])</f>
        <v>#DIV/0!</v>
      </c>
      <c r="I38" s="2">
        <f>AVERAGE(Table97[Jackson])</f>
        <v>8729</v>
      </c>
      <c r="J38" s="2">
        <f>AVERAGE(Table97[DSL-JSON])</f>
        <v>8807.3333333333339</v>
      </c>
      <c r="K38" s="2">
        <f>AVERAGE(Table97[Kryo (binary reference)])</f>
        <v>8827.3333333333339</v>
      </c>
      <c r="L38" s="2" t="e">
        <f>AVERAGE(Table97[Boon])</f>
        <v>#DIV/0!</v>
      </c>
      <c r="M38" s="2" t="e">
        <f>AVERAGE(Table97[Alibaba])</f>
        <v>#DIV/0!</v>
      </c>
      <c r="N38" s="2" t="e">
        <f>AVERAGE(Table97[Gson])</f>
        <v>#DIV/0!</v>
      </c>
      <c r="O38" s="2"/>
      <c r="P38" s="2"/>
      <c r="Q38" s="2"/>
    </row>
    <row r="39" spans="2:17" x14ac:dyDescent="0.25">
      <c r="B39" t="s">
        <v>0</v>
      </c>
      <c r="C39" s="2">
        <f>AVERAGE(Table96[Newtonsoft]) - C38</f>
        <v>228650.33333333331</v>
      </c>
      <c r="D39" s="2">
        <f>AVERAGE(Table96[Revenj]) - D38</f>
        <v>84556.999999999985</v>
      </c>
      <c r="E39" s="2">
        <f>AVERAGE(Table96[ProtoBuf (binary reference)]) - E38</f>
        <v>52005</v>
      </c>
      <c r="F39" s="2" t="e">
        <f>AVERAGE(Table96[Service Stack]) - F38</f>
        <v>#DIV/0!</v>
      </c>
      <c r="G39" s="2" t="e">
        <f>AVERAGE(Table96[Jil]) - G38</f>
        <v>#DIV/0!</v>
      </c>
      <c r="H39" s="2" t="e">
        <f>AVERAGE(Table96[NetJSON]) - H38</f>
        <v>#DIV/0!</v>
      </c>
      <c r="I39" s="2">
        <f>AVERAGE(Table96[Jackson]) - I38</f>
        <v>47885.666666666664</v>
      </c>
      <c r="J39" s="2">
        <f>AVERAGE(Table96[DSL-JSON]) - J38</f>
        <v>26707.666666666664</v>
      </c>
      <c r="K39" s="2">
        <f>AVERAGE(Table96[Kryo (binary reference)]) - K38</f>
        <v>23684.666666666664</v>
      </c>
      <c r="L39" s="2" t="e">
        <f>AVERAGE(Table96[Boon]) - L38</f>
        <v>#DIV/0!</v>
      </c>
      <c r="M39" s="2" t="e">
        <f>AVERAGE(Table96[Alibaba]) - M38</f>
        <v>#DIV/0!</v>
      </c>
      <c r="N39" s="2" t="e">
        <f>AVERAGE(Table96[Gson]) - N38</f>
        <v>#DIV/0!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269288</v>
      </c>
      <c r="D40" s="2">
        <f t="shared" si="0"/>
        <v>207433</v>
      </c>
      <c r="E40" s="2">
        <f t="shared" ref="E40" si="1">E41 - E39 - E38</f>
        <v>91967.333333333328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108051.66666666669</v>
      </c>
      <c r="J40" s="2">
        <f t="shared" ref="J40" si="3">J41 - J39 - J38</f>
        <v>21607.666666666664</v>
      </c>
      <c r="K40" s="2">
        <f t="shared" ref="K40:L40" si="4">K41 - K39 - K38</f>
        <v>18830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 x14ac:dyDescent="0.25">
      <c r="B41" t="s">
        <v>23</v>
      </c>
      <c r="C41" s="2">
        <f>AVERAGE(Table98[Newtonsoft])</f>
        <v>574375</v>
      </c>
      <c r="D41" s="2">
        <f>AVERAGE(Table98[Revenj])</f>
        <v>366168.66666666669</v>
      </c>
      <c r="E41" s="2">
        <f>AVERAGE(Table98[ProtoBuf (binary reference)])</f>
        <v>217023</v>
      </c>
      <c r="F41" s="2" t="e">
        <f>AVERAGE(Table98[Service Stack])</f>
        <v>#DIV/0!</v>
      </c>
      <c r="G41" s="2" t="e">
        <f>AVERAGE(Table98[Jil])</f>
        <v>#DIV/0!</v>
      </c>
      <c r="H41" s="2" t="e">
        <f>AVERAGE(Table98[NetJSON])</f>
        <v>#DIV/0!</v>
      </c>
      <c r="I41" s="2">
        <f>AVERAGE(Table98[Jackson])</f>
        <v>164666.33333333334</v>
      </c>
      <c r="J41" s="2">
        <f>AVERAGE(Table98[DSL-JSON])</f>
        <v>57122.666666666664</v>
      </c>
      <c r="K41" s="2">
        <f>AVERAGE(Table98[Kryo (binary reference)])</f>
        <v>51342</v>
      </c>
      <c r="L41" s="2" t="e">
        <f>AVERAGE(Table98[Boon])</f>
        <v>#DIV/0!</v>
      </c>
      <c r="M41" s="2" t="e">
        <f>AVERAGE(Table98[Alibaba])</f>
        <v>#DIV/0!</v>
      </c>
      <c r="N41" s="2" t="e">
        <f>AVERAGE(Table98[Gson])</f>
        <v>#DIV/0!</v>
      </c>
      <c r="O41" s="2"/>
      <c r="P41" s="2"/>
      <c r="Q41" s="2"/>
    </row>
    <row r="42" spans="2:17" x14ac:dyDescent="0.25">
      <c r="B42" t="s">
        <v>4</v>
      </c>
      <c r="C42" s="3">
        <f>AVERAGE(Table96[Newtonsoft (size)])</f>
        <v>9797315916</v>
      </c>
      <c r="D42" s="3">
        <f>AVERAGE(Table96[Revenj (size)])</f>
        <v>9490545095</v>
      </c>
      <c r="E42" s="3">
        <f>AVERAGE(Table96[ProtoBuf (size)])</f>
        <v>7473413088</v>
      </c>
      <c r="F42" s="3" t="e">
        <f>AVERAGE(Table96[Service Stack (size)])</f>
        <v>#DIV/0!</v>
      </c>
      <c r="G42" s="2" t="e">
        <f>AVERAGE(Table96[Jil (size)])</f>
        <v>#DIV/0!</v>
      </c>
      <c r="H42" s="2" t="e">
        <f>AVERAGE(Table96[NetJSON (size)])</f>
        <v>#DIV/0!</v>
      </c>
      <c r="I42" s="2">
        <f>AVERAGE(Table96[Jackson (size)])</f>
        <v>9388368563</v>
      </c>
      <c r="J42" s="2">
        <f>AVERAGE(Table96[DSL-JSON (size)])</f>
        <v>9388310815</v>
      </c>
      <c r="K42" s="2">
        <f>AVERAGE(Table96[Kryo (size)])</f>
        <v>7260003309</v>
      </c>
      <c r="L42" s="2" t="e">
        <f>AVERAGE(Table96[Boon (size)])</f>
        <v>#DIV/0!</v>
      </c>
      <c r="M42" s="2" t="e">
        <f>AVERAGE(Table96[Alibaba (size)])</f>
        <v>#DIV/0!</v>
      </c>
      <c r="N42" s="2" t="e">
        <f>AVERAGE(Table96[Gson (size)])</f>
        <v>#DIV/0!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DEVSQ(Table96[Newtonsoft])</f>
        <v>48700022</v>
      </c>
      <c r="D47" s="2">
        <f>DEVSQ(Table96[Revenj])</f>
        <v>12909600.666666668</v>
      </c>
      <c r="E47" s="2">
        <f>DEVSQ(Table96[ProtoBuf (binary reference)])</f>
        <v>814744.66666666663</v>
      </c>
      <c r="F47" s="2" t="e">
        <f>DEVSQ(Table96[Service Stack])</f>
        <v>#NUM!</v>
      </c>
      <c r="G47" s="2" t="e">
        <f>DEVSQ(Table96[Jil])</f>
        <v>#NUM!</v>
      </c>
      <c r="H47" s="2" t="e">
        <f>DEVSQ(Table96[NetJSON])</f>
        <v>#NUM!</v>
      </c>
      <c r="I47" s="2">
        <f>DEVSQ(Table96[Jackson])</f>
        <v>3535252.666666667</v>
      </c>
      <c r="J47" s="2">
        <f>DEVSQ(Table96[DSL-JSON])</f>
        <v>28322</v>
      </c>
      <c r="K47" s="2">
        <f>DEVSQ(Table96[Kryo (binary reference)])</f>
        <v>35762</v>
      </c>
      <c r="L47" s="2" t="e">
        <f>DEVSQ(Table96[Boon])</f>
        <v>#NUM!</v>
      </c>
      <c r="M47" s="2" t="e">
        <f>DEVSQ(Table96[Alibaba])</f>
        <v>#NUM!</v>
      </c>
      <c r="N47" s="2" t="e">
        <f>DEVSQ(Table96[Gson])</f>
        <v>#NUM!</v>
      </c>
      <c r="O47" s="2"/>
      <c r="P47" s="2"/>
      <c r="Q47" s="2"/>
    </row>
    <row r="48" spans="2:17" x14ac:dyDescent="0.25">
      <c r="B48" t="s">
        <v>23</v>
      </c>
      <c r="C48" s="2">
        <f>DEVSQ(Table98[Newtonsoft])</f>
        <v>9721928</v>
      </c>
      <c r="D48" s="2">
        <f>DEVSQ(Table98[Revenj])</f>
        <v>13429248.666666668</v>
      </c>
      <c r="E48" s="2">
        <f>DEVSQ(Table98[ProtoBuf (binary reference)])</f>
        <v>454328</v>
      </c>
      <c r="F48" s="2" t="e">
        <f>DEVSQ(Table98[Service Stack])</f>
        <v>#NUM!</v>
      </c>
      <c r="G48" s="2" t="e">
        <f>DEVSQ(Table98[Jil])</f>
        <v>#NUM!</v>
      </c>
      <c r="H48" s="2" t="e">
        <f>DEVSQ(Table98[NetJSON])</f>
        <v>#NUM!</v>
      </c>
      <c r="I48" s="2">
        <f>DEVSQ(Table98[Jackson])</f>
        <v>13345602.666666666</v>
      </c>
      <c r="J48" s="2">
        <f>DEVSQ(Table98[DSL-JSON])</f>
        <v>528584.66666666674</v>
      </c>
      <c r="K48" s="2">
        <f>DEVSQ(Table98[Kryo (binary reference)])</f>
        <v>1843016</v>
      </c>
      <c r="L48" s="2" t="e">
        <f>DEVSQ(Table98[Boon])</f>
        <v>#NUM!</v>
      </c>
      <c r="M48" s="2" t="e">
        <f>DEVSQ(Table98[Alibaba])</f>
        <v>#NUM!</v>
      </c>
      <c r="N48" s="2" t="e">
        <f>DEVSQ(Table98[Gson])</f>
        <v>#NUM!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78566</v>
      </c>
      <c r="C52">
        <v>74525</v>
      </c>
      <c r="D52">
        <v>72821</v>
      </c>
      <c r="H52">
        <v>8687</v>
      </c>
      <c r="I52">
        <v>8914</v>
      </c>
      <c r="J52">
        <v>8886</v>
      </c>
    </row>
    <row r="53" spans="2:25" x14ac:dyDescent="0.25">
      <c r="B53">
        <v>72902</v>
      </c>
      <c r="C53">
        <v>72606</v>
      </c>
      <c r="D53">
        <v>73105</v>
      </c>
      <c r="H53">
        <v>8745</v>
      </c>
      <c r="I53">
        <v>8779</v>
      </c>
      <c r="J53">
        <v>8792</v>
      </c>
    </row>
    <row r="54" spans="2:25" x14ac:dyDescent="0.25">
      <c r="B54">
        <v>77842</v>
      </c>
      <c r="C54">
        <v>75405</v>
      </c>
      <c r="D54">
        <v>73226</v>
      </c>
      <c r="H54">
        <v>8755</v>
      </c>
      <c r="I54">
        <v>8729</v>
      </c>
      <c r="J54">
        <v>8804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310037</v>
      </c>
      <c r="C58">
        <v>158922</v>
      </c>
      <c r="D58">
        <v>124334</v>
      </c>
      <c r="H58">
        <v>55080</v>
      </c>
      <c r="I58">
        <v>35634</v>
      </c>
      <c r="J58">
        <v>32653</v>
      </c>
      <c r="N58">
        <v>9797315916</v>
      </c>
      <c r="O58">
        <v>9490545095</v>
      </c>
      <c r="P58">
        <v>7473413088</v>
      </c>
      <c r="T58">
        <v>9388368563</v>
      </c>
      <c r="U58">
        <v>9388310815</v>
      </c>
      <c r="V58">
        <v>7260003309</v>
      </c>
    </row>
    <row r="59" spans="2:25" x14ac:dyDescent="0.25">
      <c r="B59">
        <v>300168</v>
      </c>
      <c r="C59">
        <v>161178</v>
      </c>
      <c r="D59">
        <v>125287</v>
      </c>
      <c r="H59">
        <v>57347</v>
      </c>
      <c r="I59">
        <v>35396</v>
      </c>
      <c r="J59">
        <v>32387</v>
      </c>
      <c r="N59">
        <v>9797315916</v>
      </c>
      <c r="O59">
        <v>9490545095</v>
      </c>
      <c r="P59">
        <v>7473413088</v>
      </c>
      <c r="T59">
        <v>9388368563</v>
      </c>
      <c r="U59">
        <v>9388310815</v>
      </c>
      <c r="V59">
        <v>7260003309</v>
      </c>
    </row>
    <row r="60" spans="2:25" x14ac:dyDescent="0.25">
      <c r="B60">
        <v>305056</v>
      </c>
      <c r="C60">
        <v>156107</v>
      </c>
      <c r="D60">
        <v>125546</v>
      </c>
      <c r="H60">
        <v>57417</v>
      </c>
      <c r="I60">
        <v>35515</v>
      </c>
      <c r="J60">
        <v>32496</v>
      </c>
      <c r="N60">
        <v>9797315916</v>
      </c>
      <c r="O60">
        <v>9490545095</v>
      </c>
      <c r="P60">
        <v>7473413088</v>
      </c>
      <c r="T60">
        <v>9388368563</v>
      </c>
      <c r="U60">
        <v>9388310815</v>
      </c>
      <c r="V60">
        <v>7260003309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576897</v>
      </c>
      <c r="C64">
        <v>367443</v>
      </c>
      <c r="D64">
        <v>216505</v>
      </c>
      <c r="H64">
        <v>163151</v>
      </c>
      <c r="I64">
        <v>57631</v>
      </c>
      <c r="J64">
        <v>52148</v>
      </c>
    </row>
    <row r="65" spans="2:10" x14ac:dyDescent="0.25">
      <c r="B65">
        <v>572813</v>
      </c>
      <c r="C65">
        <v>363187</v>
      </c>
      <c r="D65">
        <v>217121</v>
      </c>
      <c r="H65">
        <v>163199</v>
      </c>
      <c r="I65">
        <v>57134</v>
      </c>
      <c r="J65">
        <v>50280</v>
      </c>
    </row>
    <row r="66" spans="2:10" x14ac:dyDescent="0.25">
      <c r="B66">
        <v>573415</v>
      </c>
      <c r="C66">
        <v>367876</v>
      </c>
      <c r="D66">
        <v>217443</v>
      </c>
      <c r="H66">
        <v>167649</v>
      </c>
      <c r="I66">
        <v>56603</v>
      </c>
      <c r="J66">
        <v>51598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37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AVERAGE(Table17[Newtonsoft])</f>
        <v>285.66666666666669</v>
      </c>
      <c r="D38" s="2">
        <f>AVERAGE(Table17[Revenj])</f>
        <v>288.33333333333331</v>
      </c>
      <c r="E38" s="2">
        <f>AVERAGE(Table17[ProtoBuf (binary reference)])</f>
        <v>292</v>
      </c>
      <c r="F38" s="2">
        <f>AVERAGE(Table17[Service Stack])</f>
        <v>283.33333333333331</v>
      </c>
      <c r="G38" s="2">
        <f>AVERAGE(Table17[Jil])</f>
        <v>291.66666666666669</v>
      </c>
      <c r="H38" s="2">
        <f>AVERAGE(Table17[NetJSON])</f>
        <v>288</v>
      </c>
      <c r="I38" s="2">
        <f>AVERAGE(Table17[Jackson])</f>
        <v>56</v>
      </c>
      <c r="J38" s="2">
        <f>AVERAGE(Table17[DSL-JSON])</f>
        <v>57.333333333333336</v>
      </c>
      <c r="K38" s="2">
        <f>AVERAGE(Table17[Kryo (binary reference)])</f>
        <v>54</v>
      </c>
      <c r="L38" s="2">
        <f>AVERAGE(Table17[Boon])</f>
        <v>52.666666666666664</v>
      </c>
      <c r="M38" s="2">
        <f>AVERAGE(Table17[Alibaba])</f>
        <v>54.333333333333336</v>
      </c>
      <c r="N38" s="2">
        <f>AVERAGE(Table17[Gson])</f>
        <v>54.666666666666664</v>
      </c>
      <c r="O38" s="2"/>
      <c r="P38" s="2"/>
      <c r="Q38" s="2"/>
    </row>
    <row r="39" spans="2:17" x14ac:dyDescent="0.25">
      <c r="B39" t="s">
        <v>0</v>
      </c>
      <c r="C39" s="2">
        <f>AVERAGE(Table16[Newtonsoft]) - C38</f>
        <v>402.66666666666669</v>
      </c>
      <c r="D39" s="2">
        <f>AVERAGE(Table16[Revenj]) - D38</f>
        <v>115.33333333333337</v>
      </c>
      <c r="E39" s="2">
        <f>AVERAGE(Table16[ProtoBuf (binary reference)]) - E38</f>
        <v>116.66666666666669</v>
      </c>
      <c r="F39" s="2">
        <f>AVERAGE(Table16[Service Stack]) - F38</f>
        <v>336.66666666666669</v>
      </c>
      <c r="G39" s="2">
        <f>AVERAGE(Table16[Jil]) - G38</f>
        <v>611.33333333333326</v>
      </c>
      <c r="H39" s="2">
        <f>AVERAGE(Table16[NetJSON]) - H38</f>
        <v>201</v>
      </c>
      <c r="I39" s="2">
        <f>AVERAGE(Table16[Jackson]) - I38</f>
        <v>228</v>
      </c>
      <c r="J39" s="2">
        <f>AVERAGE(Table16[DSL-JSON]) - J38</f>
        <v>33.999999999999993</v>
      </c>
      <c r="K39" s="2">
        <f>AVERAGE(Table16[Kryo (binary reference)]) - K38</f>
        <v>54.666666666666671</v>
      </c>
      <c r="L39" s="2">
        <f>AVERAGE(Table16[Boon]) - L38</f>
        <v>611</v>
      </c>
      <c r="M39" s="2">
        <f>AVERAGE(Table16[Alibaba]) - M38</f>
        <v>611.33333333333326</v>
      </c>
      <c r="N39" s="2">
        <f>AVERAGE(Table16[Gson]) - N38</f>
        <v>624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624.99999999999977</v>
      </c>
      <c r="D40" s="2">
        <f t="shared" si="0"/>
        <v>213.66666666666669</v>
      </c>
      <c r="E40" s="2">
        <f t="shared" ref="E40" si="1">E41 - E39 - E38</f>
        <v>245.33333333333326</v>
      </c>
      <c r="F40" s="2">
        <f t="shared" si="0"/>
        <v>937</v>
      </c>
      <c r="G40" s="2">
        <f t="shared" si="0"/>
        <v>288.6666666666668</v>
      </c>
      <c r="H40" s="2">
        <f t="shared" si="0"/>
        <v>284</v>
      </c>
      <c r="I40" s="2">
        <f t="shared" ref="I40" si="2">I41 - I39 - I38</f>
        <v>294.33333333333337</v>
      </c>
      <c r="J40" s="2">
        <f t="shared" ref="J40" si="3">J41 - J39 - J38</f>
        <v>88.666666666666657</v>
      </c>
      <c r="K40" s="2">
        <f t="shared" ref="K40:L40" si="4">K41 - K39 - K38</f>
        <v>70.666666666666671</v>
      </c>
      <c r="L40" s="2">
        <f t="shared" si="4"/>
        <v>805.00000000000011</v>
      </c>
      <c r="M40" s="2">
        <f t="shared" ref="M40" si="5">M41 - M39 - M38</f>
        <v>161.00000000000003</v>
      </c>
      <c r="N40" s="2">
        <f t="shared" ref="N40" si="6">N41 - N39 - N38</f>
        <v>305.66666666666669</v>
      </c>
      <c r="O40" s="2"/>
      <c r="P40" s="2"/>
      <c r="Q40" s="2"/>
    </row>
    <row r="41" spans="2:17" x14ac:dyDescent="0.25">
      <c r="B41" t="s">
        <v>23</v>
      </c>
      <c r="C41" s="2">
        <f>AVERAGE(Table18[Newtonsoft])</f>
        <v>1313.3333333333333</v>
      </c>
      <c r="D41" s="2">
        <f>AVERAGE(Table18[Revenj])</f>
        <v>617.33333333333337</v>
      </c>
      <c r="E41" s="2">
        <f>AVERAGE(Table18[ProtoBuf (binary reference)])</f>
        <v>654</v>
      </c>
      <c r="F41" s="2">
        <f>AVERAGE(Table18[Service Stack])</f>
        <v>1557</v>
      </c>
      <c r="G41" s="2">
        <f>AVERAGE(Table18[Jil])</f>
        <v>1191.6666666666667</v>
      </c>
      <c r="H41" s="2">
        <f>AVERAGE(Table18[NetJSON])</f>
        <v>773</v>
      </c>
      <c r="I41" s="2">
        <f>AVERAGE(Table18[Jackson])</f>
        <v>578.33333333333337</v>
      </c>
      <c r="J41" s="2">
        <f>AVERAGE(Table18[DSL-JSON])</f>
        <v>180</v>
      </c>
      <c r="K41" s="2">
        <f>AVERAGE(Table18[Kryo (binary reference)])</f>
        <v>179.33333333333334</v>
      </c>
      <c r="L41" s="2">
        <f>AVERAGE(Table18[Boon])</f>
        <v>1468.6666666666667</v>
      </c>
      <c r="M41" s="2">
        <f>AVERAGE(Table18[Alibaba])</f>
        <v>826.66666666666663</v>
      </c>
      <c r="N41" s="2">
        <f>AVERAGE(Table18[Gson])</f>
        <v>984.33333333333337</v>
      </c>
      <c r="O41" s="2"/>
      <c r="P41" s="2"/>
      <c r="Q41" s="2"/>
    </row>
    <row r="42" spans="2:17" x14ac:dyDescent="0.25">
      <c r="B42" t="s">
        <v>4</v>
      </c>
      <c r="C42" s="3">
        <f>AVERAGE(Table16[Newtonsoft (size)])</f>
        <v>4777780</v>
      </c>
      <c r="D42" s="3">
        <f>AVERAGE(Table16[Revenj (size)])</f>
        <v>4777768</v>
      </c>
      <c r="E42" s="3">
        <f>AVERAGE(Table16[ProtoBuf (size)])</f>
        <v>2372376</v>
      </c>
      <c r="F42" s="3">
        <f>AVERAGE(Table16[Service Stack (size)])</f>
        <v>4777780</v>
      </c>
      <c r="G42" s="2">
        <f>AVERAGE(Table16[Jil (size)])</f>
        <v>4777780</v>
      </c>
      <c r="H42" s="2">
        <f>AVERAGE(Table16[NetJSON (size)])</f>
        <v>4777768</v>
      </c>
      <c r="I42" s="2">
        <f>AVERAGE(Table16[Jackson (size)])</f>
        <v>4777780</v>
      </c>
      <c r="J42" s="2">
        <f>AVERAGE(Table16[DSL-JSON (size)])</f>
        <v>4777768</v>
      </c>
      <c r="K42" s="2">
        <f>AVERAGE(Table16[Kryo (size)])</f>
        <v>2080634</v>
      </c>
      <c r="L42" s="2">
        <f>AVERAGE(Table16[Boon (size)])</f>
        <v>4777768</v>
      </c>
      <c r="M42" s="2">
        <f>AVERAGE(Table16[Alibaba (size)])</f>
        <v>4777780</v>
      </c>
      <c r="N42" s="2">
        <f>AVERAGE(Table16[Gson (size)])</f>
        <v>4777780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DEVSQ(Table16[Newtonsoft])</f>
        <v>274.66666666666669</v>
      </c>
      <c r="D47" s="2">
        <f>DEVSQ(Table16[Revenj])</f>
        <v>104.66666666666667</v>
      </c>
      <c r="E47" s="2">
        <f>DEVSQ(Table16[ProtoBuf (binary reference)])</f>
        <v>200.66666666666663</v>
      </c>
      <c r="F47" s="2">
        <f>DEVSQ(Table16[Service Stack])</f>
        <v>54</v>
      </c>
      <c r="G47" s="2">
        <f>DEVSQ(Table16[Jil])</f>
        <v>26</v>
      </c>
      <c r="H47" s="2">
        <f>DEVSQ(Table16[NetJSON])</f>
        <v>182</v>
      </c>
      <c r="I47" s="2">
        <f>DEVSQ(Table16[Jackson])</f>
        <v>6</v>
      </c>
      <c r="J47" s="2">
        <f>DEVSQ(Table16[DSL-JSON])</f>
        <v>34.666666666666664</v>
      </c>
      <c r="K47" s="2">
        <f>DEVSQ(Table16[Kryo (binary reference)])</f>
        <v>2.666666666666667</v>
      </c>
      <c r="L47" s="2">
        <f>DEVSQ(Table16[Boon])</f>
        <v>292.66666666666669</v>
      </c>
      <c r="M47" s="2">
        <f>DEVSQ(Table16[Alibaba])</f>
        <v>264.66666666666669</v>
      </c>
      <c r="N47" s="2">
        <f>DEVSQ(Table16[Gson])</f>
        <v>2220.6666666666665</v>
      </c>
      <c r="O47" s="2"/>
      <c r="P47" s="2"/>
      <c r="Q47" s="2"/>
    </row>
    <row r="48" spans="2:17" x14ac:dyDescent="0.25">
      <c r="B48" t="s">
        <v>23</v>
      </c>
      <c r="C48" s="2">
        <f>DEVSQ(Table18[Newtonsoft])</f>
        <v>892.66666666666674</v>
      </c>
      <c r="D48" s="2">
        <f>DEVSQ(Table18[Revenj])</f>
        <v>144.66666666666669</v>
      </c>
      <c r="E48" s="2">
        <f>DEVSQ(Table18[ProtoBuf (binary reference)])</f>
        <v>222</v>
      </c>
      <c r="F48" s="2">
        <f>DEVSQ(Table18[Service Stack])</f>
        <v>254</v>
      </c>
      <c r="G48" s="2">
        <f>DEVSQ(Table18[Jil])</f>
        <v>340.66666666666669</v>
      </c>
      <c r="H48" s="2">
        <f>DEVSQ(Table18[NetJSON])</f>
        <v>384</v>
      </c>
      <c r="I48" s="2">
        <f>DEVSQ(Table18[Jackson])</f>
        <v>24.666666666666664</v>
      </c>
      <c r="J48" s="2">
        <f>DEVSQ(Table18[DSL-JSON])</f>
        <v>42</v>
      </c>
      <c r="K48" s="2">
        <f>DEVSQ(Table18[Kryo (binary reference)])</f>
        <v>28.666666666666668</v>
      </c>
      <c r="L48" s="2">
        <f>DEVSQ(Table18[Boon])</f>
        <v>1860.6666666666667</v>
      </c>
      <c r="M48" s="2">
        <f>DEVSQ(Table18[Alibaba])</f>
        <v>2466.6666666666665</v>
      </c>
      <c r="N48" s="2">
        <f>DEVSQ(Table18[Gson])</f>
        <v>240.66666666666669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293</v>
      </c>
      <c r="C52">
        <v>290</v>
      </c>
      <c r="D52">
        <v>288</v>
      </c>
      <c r="E52">
        <v>284</v>
      </c>
      <c r="F52">
        <v>292</v>
      </c>
      <c r="G52">
        <v>286</v>
      </c>
      <c r="H52">
        <v>57</v>
      </c>
      <c r="I52">
        <v>58</v>
      </c>
      <c r="J52">
        <v>54</v>
      </c>
      <c r="K52">
        <v>52</v>
      </c>
      <c r="L52">
        <v>56</v>
      </c>
      <c r="M52">
        <v>54</v>
      </c>
    </row>
    <row r="53" spans="2:25" x14ac:dyDescent="0.25">
      <c r="B53">
        <v>278</v>
      </c>
      <c r="C53">
        <v>290</v>
      </c>
      <c r="D53">
        <v>293</v>
      </c>
      <c r="E53">
        <v>280</v>
      </c>
      <c r="F53">
        <v>287</v>
      </c>
      <c r="G53">
        <v>286</v>
      </c>
      <c r="H53">
        <v>52</v>
      </c>
      <c r="I53">
        <v>56</v>
      </c>
      <c r="J53">
        <v>57</v>
      </c>
      <c r="K53">
        <v>53</v>
      </c>
      <c r="L53">
        <v>56</v>
      </c>
      <c r="M53">
        <v>55</v>
      </c>
    </row>
    <row r="54" spans="2:25" x14ac:dyDescent="0.25">
      <c r="B54">
        <v>286</v>
      </c>
      <c r="C54">
        <v>285</v>
      </c>
      <c r="D54">
        <v>295</v>
      </c>
      <c r="E54">
        <v>286</v>
      </c>
      <c r="F54">
        <v>296</v>
      </c>
      <c r="G54">
        <v>292</v>
      </c>
      <c r="H54">
        <v>59</v>
      </c>
      <c r="I54">
        <v>58</v>
      </c>
      <c r="J54">
        <v>51</v>
      </c>
      <c r="K54">
        <v>53</v>
      </c>
      <c r="L54">
        <v>51</v>
      </c>
      <c r="M54">
        <v>55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697</v>
      </c>
      <c r="C58">
        <v>400</v>
      </c>
      <c r="D58">
        <v>420</v>
      </c>
      <c r="E58">
        <v>623</v>
      </c>
      <c r="F58">
        <v>907</v>
      </c>
      <c r="G58">
        <v>488</v>
      </c>
      <c r="H58">
        <v>283</v>
      </c>
      <c r="I58">
        <v>96</v>
      </c>
      <c r="J58">
        <v>108</v>
      </c>
      <c r="K58">
        <v>673</v>
      </c>
      <c r="L58">
        <v>666</v>
      </c>
      <c r="M58">
        <v>643</v>
      </c>
      <c r="N58">
        <v>4777780</v>
      </c>
      <c r="O58">
        <v>4777768</v>
      </c>
      <c r="P58">
        <v>2372376</v>
      </c>
      <c r="Q58">
        <v>4777780</v>
      </c>
      <c r="R58">
        <v>4777780</v>
      </c>
      <c r="S58">
        <v>4777768</v>
      </c>
      <c r="T58">
        <v>4777780</v>
      </c>
      <c r="U58">
        <v>4777768</v>
      </c>
      <c r="V58">
        <v>2080634</v>
      </c>
      <c r="W58">
        <v>4777768</v>
      </c>
      <c r="X58">
        <v>4777780</v>
      </c>
      <c r="Y58">
        <v>4777780</v>
      </c>
    </row>
    <row r="59" spans="2:25" x14ac:dyDescent="0.25">
      <c r="B59">
        <v>675</v>
      </c>
      <c r="C59">
        <v>399</v>
      </c>
      <c r="D59">
        <v>405</v>
      </c>
      <c r="E59">
        <v>623</v>
      </c>
      <c r="F59">
        <v>900</v>
      </c>
      <c r="G59">
        <v>480</v>
      </c>
      <c r="H59">
        <v>286</v>
      </c>
      <c r="I59">
        <v>88</v>
      </c>
      <c r="J59">
        <v>108</v>
      </c>
      <c r="K59">
        <v>650</v>
      </c>
      <c r="L59">
        <v>677</v>
      </c>
      <c r="M59">
        <v>684</v>
      </c>
      <c r="N59">
        <v>4777780</v>
      </c>
      <c r="O59">
        <v>4777768</v>
      </c>
      <c r="P59">
        <v>2372376</v>
      </c>
      <c r="Q59">
        <v>4777780</v>
      </c>
      <c r="R59">
        <v>4777780</v>
      </c>
      <c r="S59">
        <v>4777768</v>
      </c>
      <c r="T59">
        <v>4777780</v>
      </c>
      <c r="U59">
        <v>4777768</v>
      </c>
      <c r="V59">
        <v>2080634</v>
      </c>
      <c r="W59">
        <v>4777768</v>
      </c>
      <c r="X59">
        <v>4777780</v>
      </c>
      <c r="Y59">
        <v>4777780</v>
      </c>
    </row>
    <row r="60" spans="2:25" x14ac:dyDescent="0.25">
      <c r="B60">
        <v>693</v>
      </c>
      <c r="C60">
        <v>412</v>
      </c>
      <c r="D60">
        <v>401</v>
      </c>
      <c r="E60">
        <v>614</v>
      </c>
      <c r="F60">
        <v>902</v>
      </c>
      <c r="G60">
        <v>499</v>
      </c>
      <c r="H60">
        <v>283</v>
      </c>
      <c r="I60">
        <v>90</v>
      </c>
      <c r="J60">
        <v>110</v>
      </c>
      <c r="K60">
        <v>668</v>
      </c>
      <c r="L60">
        <v>654</v>
      </c>
      <c r="M60">
        <v>709</v>
      </c>
      <c r="N60">
        <v>4777780</v>
      </c>
      <c r="O60">
        <v>4777768</v>
      </c>
      <c r="P60">
        <v>2372376</v>
      </c>
      <c r="Q60">
        <v>4777780</v>
      </c>
      <c r="R60">
        <v>4777780</v>
      </c>
      <c r="S60">
        <v>4777768</v>
      </c>
      <c r="T60">
        <v>4777780</v>
      </c>
      <c r="U60">
        <v>4777768</v>
      </c>
      <c r="V60">
        <v>2080634</v>
      </c>
      <c r="W60">
        <v>4777768</v>
      </c>
      <c r="X60">
        <v>4777780</v>
      </c>
      <c r="Y60">
        <v>4777780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1333</v>
      </c>
      <c r="C64">
        <v>609</v>
      </c>
      <c r="D64">
        <v>655</v>
      </c>
      <c r="E64">
        <v>1551</v>
      </c>
      <c r="F64">
        <v>1177</v>
      </c>
      <c r="G64">
        <v>789</v>
      </c>
      <c r="H64">
        <v>582</v>
      </c>
      <c r="I64">
        <v>176</v>
      </c>
      <c r="J64">
        <v>182</v>
      </c>
      <c r="K64">
        <v>1469</v>
      </c>
      <c r="L64">
        <v>830</v>
      </c>
      <c r="M64">
        <v>997</v>
      </c>
    </row>
    <row r="65" spans="2:13" x14ac:dyDescent="0.25">
      <c r="B65">
        <v>1291</v>
      </c>
      <c r="C65">
        <v>617</v>
      </c>
      <c r="D65">
        <v>664</v>
      </c>
      <c r="E65">
        <v>1570</v>
      </c>
      <c r="F65">
        <v>1202</v>
      </c>
      <c r="G65">
        <v>765</v>
      </c>
      <c r="H65">
        <v>575</v>
      </c>
      <c r="I65">
        <v>185</v>
      </c>
      <c r="J65">
        <v>175</v>
      </c>
      <c r="K65">
        <v>1438</v>
      </c>
      <c r="L65">
        <v>860</v>
      </c>
      <c r="M65">
        <v>978</v>
      </c>
    </row>
    <row r="66" spans="2:13" x14ac:dyDescent="0.25">
      <c r="B66">
        <v>1316</v>
      </c>
      <c r="C66">
        <v>626</v>
      </c>
      <c r="D66">
        <v>643</v>
      </c>
      <c r="E66">
        <v>1550</v>
      </c>
      <c r="F66">
        <v>1196</v>
      </c>
      <c r="G66">
        <v>765</v>
      </c>
      <c r="H66">
        <v>578</v>
      </c>
      <c r="I66">
        <v>179</v>
      </c>
      <c r="J66">
        <v>181</v>
      </c>
      <c r="K66">
        <v>1499</v>
      </c>
      <c r="L66">
        <v>790</v>
      </c>
      <c r="M66">
        <v>978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38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AVERAGE(Table22[Newtonsoft])</f>
        <v>1158</v>
      </c>
      <c r="D38" s="2">
        <f>AVERAGE(Table22[Revenj])</f>
        <v>1177.6666666666667</v>
      </c>
      <c r="E38" s="2">
        <f>AVERAGE(Table22[ProtoBuf (binary reference)])</f>
        <v>1178.3333333333333</v>
      </c>
      <c r="F38" s="2">
        <f>AVERAGE(Table22[Service Stack])</f>
        <v>1178.6666666666667</v>
      </c>
      <c r="G38" s="2">
        <f>AVERAGE(Table22[Jil])</f>
        <v>1108.3333333333333</v>
      </c>
      <c r="H38" s="2">
        <f>AVERAGE(Table22[NetJSON])</f>
        <v>1265</v>
      </c>
      <c r="I38" s="2">
        <f>AVERAGE(Table22[Jackson])</f>
        <v>145</v>
      </c>
      <c r="J38" s="2">
        <f>AVERAGE(Table22[DSL-JSON])</f>
        <v>148.33333333333334</v>
      </c>
      <c r="K38" s="2">
        <f>AVERAGE(Table22[Kryo (binary reference)])</f>
        <v>149.66666666666666</v>
      </c>
      <c r="L38" s="2">
        <f>AVERAGE(Table22[Boon])</f>
        <v>147.33333333333334</v>
      </c>
      <c r="M38" s="2">
        <f>AVERAGE(Table22[Alibaba])</f>
        <v>149.66666666666666</v>
      </c>
      <c r="N38" s="2">
        <f>AVERAGE(Table22[Gson])</f>
        <v>149.66666666666666</v>
      </c>
      <c r="O38" s="2"/>
      <c r="P38" s="2"/>
      <c r="Q38" s="2"/>
    </row>
    <row r="39" spans="2:17" x14ac:dyDescent="0.25">
      <c r="B39" t="s">
        <v>0</v>
      </c>
      <c r="C39" s="2">
        <f>AVERAGE(Table21[Newtonsoft]) - C38</f>
        <v>3355.333333333333</v>
      </c>
      <c r="D39" s="2">
        <f>AVERAGE(Table21[Revenj]) - D38</f>
        <v>1104.3333333333333</v>
      </c>
      <c r="E39" s="2">
        <f>AVERAGE(Table21[ProtoBuf (binary reference)]) - E38</f>
        <v>1055.3333333333333</v>
      </c>
      <c r="F39" s="2">
        <f>AVERAGE(Table21[Service Stack]) - F38</f>
        <v>2237.666666666667</v>
      </c>
      <c r="G39" s="2">
        <f>AVERAGE(Table21[Jil]) - G38</f>
        <v>4557.666666666667</v>
      </c>
      <c r="H39" s="2">
        <f>AVERAGE(Table21[NetJSON]) - H38</f>
        <v>1316</v>
      </c>
      <c r="I39" s="2">
        <f>AVERAGE(Table21[Jackson]) - I38</f>
        <v>550.33333333333337</v>
      </c>
      <c r="J39" s="2">
        <f>AVERAGE(Table21[DSL-JSON]) - J38</f>
        <v>158.99999999999997</v>
      </c>
      <c r="K39" s="2">
        <f>AVERAGE(Table21[Kryo (binary reference)]) - K38</f>
        <v>181.33333333333334</v>
      </c>
      <c r="L39" s="2">
        <f>AVERAGE(Table21[Boon]) - L38</f>
        <v>3420.6666666666665</v>
      </c>
      <c r="M39" s="2">
        <f>AVERAGE(Table21[Alibaba]) - M38</f>
        <v>3359.3333333333335</v>
      </c>
      <c r="N39" s="2">
        <f>AVERAGE(Table21[Gson]) - N38</f>
        <v>3979.6666666666665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5639.666666666667</v>
      </c>
      <c r="D40" s="2">
        <f t="shared" si="0"/>
        <v>2128</v>
      </c>
      <c r="E40" s="2">
        <f t="shared" ref="E40" si="1">E41 - E39 - E38</f>
        <v>2346.666666666667</v>
      </c>
      <c r="F40" s="2">
        <f t="shared" si="0"/>
        <v>9182.0000000000018</v>
      </c>
      <c r="G40" s="2">
        <f t="shared" si="0"/>
        <v>2380</v>
      </c>
      <c r="H40" s="2">
        <f t="shared" si="0"/>
        <v>2812</v>
      </c>
      <c r="I40" s="2">
        <f t="shared" ref="I40" si="2">I41 - I39 - I38</f>
        <v>976</v>
      </c>
      <c r="J40" s="2">
        <f t="shared" ref="J40" si="3">J41 - J39 - J38</f>
        <v>265</v>
      </c>
      <c r="K40" s="2">
        <f t="shared" ref="K40:L40" si="4">K41 - K39 - K38</f>
        <v>206.6666666666666</v>
      </c>
      <c r="L40" s="2">
        <f t="shared" si="4"/>
        <v>5331.666666666667</v>
      </c>
      <c r="M40" s="2">
        <f t="shared" ref="M40" si="5">M41 - M39 - M38</f>
        <v>290.99999999999989</v>
      </c>
      <c r="N40" s="2">
        <f t="shared" ref="N40" si="6">N41 - N39 - N38</f>
        <v>1439.9999999999998</v>
      </c>
      <c r="O40" s="2"/>
      <c r="P40" s="2"/>
      <c r="Q40" s="2"/>
    </row>
    <row r="41" spans="2:17" x14ac:dyDescent="0.25">
      <c r="B41" t="s">
        <v>23</v>
      </c>
      <c r="C41" s="2">
        <f>AVERAGE(Table23[Newtonsoft])</f>
        <v>10153</v>
      </c>
      <c r="D41" s="2">
        <f>AVERAGE(Table23[Revenj])</f>
        <v>4410</v>
      </c>
      <c r="E41" s="2">
        <f>AVERAGE(Table23[ProtoBuf (binary reference)])</f>
        <v>4580.333333333333</v>
      </c>
      <c r="F41" s="2">
        <f>AVERAGE(Table23[Service Stack])</f>
        <v>12598.333333333334</v>
      </c>
      <c r="G41" s="2">
        <f>AVERAGE(Table23[Jil])</f>
        <v>8046</v>
      </c>
      <c r="H41" s="2">
        <f>AVERAGE(Table23[NetJSON])</f>
        <v>5393</v>
      </c>
      <c r="I41" s="2">
        <f>AVERAGE(Table23[Jackson])</f>
        <v>1671.3333333333333</v>
      </c>
      <c r="J41" s="2">
        <f>AVERAGE(Table23[DSL-JSON])</f>
        <v>572.33333333333337</v>
      </c>
      <c r="K41" s="2">
        <f>AVERAGE(Table23[Kryo (binary reference)])</f>
        <v>537.66666666666663</v>
      </c>
      <c r="L41" s="2">
        <f>AVERAGE(Table23[Boon])</f>
        <v>8899.6666666666661</v>
      </c>
      <c r="M41" s="2">
        <f>AVERAGE(Table23[Alibaba])</f>
        <v>3800</v>
      </c>
      <c r="N41" s="2">
        <f>AVERAGE(Table23[Gson])</f>
        <v>5569.333333333333</v>
      </c>
      <c r="O41" s="2"/>
      <c r="P41" s="2"/>
      <c r="Q41" s="2"/>
    </row>
    <row r="42" spans="2:17" x14ac:dyDescent="0.25">
      <c r="B42" t="s">
        <v>4</v>
      </c>
      <c r="C42" s="3">
        <f>AVERAGE(Table21[Newtonsoft (size)])</f>
        <v>49777780</v>
      </c>
      <c r="D42" s="3">
        <f>AVERAGE(Table21[Revenj (size)])</f>
        <v>49777768</v>
      </c>
      <c r="E42" s="3">
        <f>AVERAGE(Table21[ProtoBuf (size)])</f>
        <v>24872376</v>
      </c>
      <c r="F42" s="3">
        <f>AVERAGE(Table21[Service Stack (size)])</f>
        <v>49777780</v>
      </c>
      <c r="G42" s="2">
        <f>AVERAGE(Table21[Jil (size)])</f>
        <v>49777780</v>
      </c>
      <c r="H42" s="2">
        <f>AVERAGE(Table21[NetJSON (size)])</f>
        <v>49777768</v>
      </c>
      <c r="I42" s="2">
        <f>AVERAGE(Table21[Jackson (size)])</f>
        <v>49777780</v>
      </c>
      <c r="J42" s="2">
        <f>AVERAGE(Table21[DSL-JSON (size)])</f>
        <v>49777768</v>
      </c>
      <c r="K42" s="2">
        <f>AVERAGE(Table21[Kryo (size)])</f>
        <v>21880634</v>
      </c>
      <c r="L42" s="2">
        <f>AVERAGE(Table21[Boon (size)])</f>
        <v>49777768</v>
      </c>
      <c r="M42" s="2">
        <f>AVERAGE(Table21[Alibaba (size)])</f>
        <v>49777780</v>
      </c>
      <c r="N42" s="2">
        <f>AVERAGE(Table21[Gson (size)])</f>
        <v>49777780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DEVSQ(Table21[Newtonsoft])</f>
        <v>10824.666666666668</v>
      </c>
      <c r="D47" s="2">
        <f>DEVSQ(Table21[Revenj])</f>
        <v>13778</v>
      </c>
      <c r="E47" s="2">
        <f>DEVSQ(Table21[ProtoBuf (binary reference)])</f>
        <v>17252.666666666664</v>
      </c>
      <c r="F47" s="2">
        <f>DEVSQ(Table21[Service Stack])</f>
        <v>37624.666666666664</v>
      </c>
      <c r="G47" s="2">
        <f>DEVSQ(Table21[Jil])</f>
        <v>8846</v>
      </c>
      <c r="H47" s="2">
        <f>DEVSQ(Table21[NetJSON])</f>
        <v>6350</v>
      </c>
      <c r="I47" s="2">
        <f>DEVSQ(Table21[Jackson])</f>
        <v>3720.666666666667</v>
      </c>
      <c r="J47" s="2">
        <f>DEVSQ(Table21[DSL-JSON])</f>
        <v>48.666666666666671</v>
      </c>
      <c r="K47" s="2">
        <f>DEVSQ(Table21[Kryo (binary reference)])</f>
        <v>86</v>
      </c>
      <c r="L47" s="2">
        <f>DEVSQ(Table21[Boon])</f>
        <v>40742</v>
      </c>
      <c r="M47" s="2">
        <f>DEVSQ(Table21[Alibaba])</f>
        <v>2366</v>
      </c>
      <c r="N47" s="2">
        <f>DEVSQ(Table21[Gson])</f>
        <v>8640.6666666666679</v>
      </c>
      <c r="O47" s="2"/>
      <c r="P47" s="2"/>
      <c r="Q47" s="2"/>
    </row>
    <row r="48" spans="2:17" x14ac:dyDescent="0.25">
      <c r="B48" t="s">
        <v>23</v>
      </c>
      <c r="C48" s="2">
        <f>DEVSQ(Table23[Newtonsoft])</f>
        <v>47858</v>
      </c>
      <c r="D48" s="2">
        <f>DEVSQ(Table23[Revenj])</f>
        <v>85176</v>
      </c>
      <c r="E48" s="2">
        <f>DEVSQ(Table23[ProtoBuf (binary reference)])</f>
        <v>31644.666666666668</v>
      </c>
      <c r="F48" s="2">
        <f>DEVSQ(Table23[Service Stack])</f>
        <v>48.666666666666657</v>
      </c>
      <c r="G48" s="2">
        <f>DEVSQ(Table23[Jil])</f>
        <v>139034</v>
      </c>
      <c r="H48" s="2">
        <f>DEVSQ(Table23[NetJSON])</f>
        <v>14762</v>
      </c>
      <c r="I48" s="2">
        <f>DEVSQ(Table23[Jackson])</f>
        <v>100.66666666666666</v>
      </c>
      <c r="J48" s="2">
        <f>DEVSQ(Table23[DSL-JSON])</f>
        <v>1908.6666666666665</v>
      </c>
      <c r="K48" s="2">
        <f>DEVSQ(Table23[Kryo (binary reference)])</f>
        <v>912.66666666666652</v>
      </c>
      <c r="L48" s="2">
        <f>DEVSQ(Table23[Boon])</f>
        <v>54572.666666666664</v>
      </c>
      <c r="M48" s="2">
        <f>DEVSQ(Table23[Alibaba])</f>
        <v>14882</v>
      </c>
      <c r="N48" s="2">
        <f>DEVSQ(Table23[Gson])</f>
        <v>53080.666666666664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1132</v>
      </c>
      <c r="C52">
        <v>1154</v>
      </c>
      <c r="D52">
        <v>1115</v>
      </c>
      <c r="E52">
        <v>1162</v>
      </c>
      <c r="F52">
        <v>1137</v>
      </c>
      <c r="G52">
        <v>1318</v>
      </c>
      <c r="H52">
        <v>145</v>
      </c>
      <c r="I52">
        <v>144</v>
      </c>
      <c r="J52">
        <v>144</v>
      </c>
      <c r="K52">
        <v>145</v>
      </c>
      <c r="L52">
        <v>145</v>
      </c>
      <c r="M52">
        <v>154</v>
      </c>
    </row>
    <row r="53" spans="2:25" x14ac:dyDescent="0.25">
      <c r="B53">
        <v>1150</v>
      </c>
      <c r="C53">
        <v>1252</v>
      </c>
      <c r="D53">
        <v>1226</v>
      </c>
      <c r="E53">
        <v>1150</v>
      </c>
      <c r="F53">
        <v>1088</v>
      </c>
      <c r="G53">
        <v>1168</v>
      </c>
      <c r="H53">
        <v>144</v>
      </c>
      <c r="I53">
        <v>150</v>
      </c>
      <c r="J53">
        <v>146</v>
      </c>
      <c r="K53">
        <v>148</v>
      </c>
      <c r="L53">
        <v>155</v>
      </c>
      <c r="M53">
        <v>147</v>
      </c>
    </row>
    <row r="54" spans="2:25" x14ac:dyDescent="0.25">
      <c r="B54">
        <v>1192</v>
      </c>
      <c r="C54">
        <v>1127</v>
      </c>
      <c r="D54">
        <v>1194</v>
      </c>
      <c r="E54">
        <v>1224</v>
      </c>
      <c r="F54">
        <v>1100</v>
      </c>
      <c r="G54">
        <v>1309</v>
      </c>
      <c r="H54">
        <v>146</v>
      </c>
      <c r="I54">
        <v>151</v>
      </c>
      <c r="J54">
        <v>159</v>
      </c>
      <c r="K54">
        <v>149</v>
      </c>
      <c r="L54">
        <v>149</v>
      </c>
      <c r="M54">
        <v>148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4517</v>
      </c>
      <c r="C58">
        <v>2282</v>
      </c>
      <c r="D58">
        <v>2146</v>
      </c>
      <c r="E58">
        <v>3301</v>
      </c>
      <c r="F58">
        <v>5599</v>
      </c>
      <c r="G58">
        <v>2646</v>
      </c>
      <c r="H58">
        <v>743</v>
      </c>
      <c r="I58">
        <v>313</v>
      </c>
      <c r="J58">
        <v>332</v>
      </c>
      <c r="K58">
        <v>3729</v>
      </c>
      <c r="L58">
        <v>3496</v>
      </c>
      <c r="M58">
        <v>4123</v>
      </c>
      <c r="N58">
        <v>49777780</v>
      </c>
      <c r="O58">
        <v>49777768</v>
      </c>
      <c r="P58">
        <v>24872376</v>
      </c>
      <c r="Q58">
        <v>49777780</v>
      </c>
      <c r="R58">
        <v>49777780</v>
      </c>
      <c r="S58">
        <v>49777768</v>
      </c>
      <c r="T58">
        <v>49777780</v>
      </c>
      <c r="U58">
        <v>49777768</v>
      </c>
      <c r="V58">
        <v>21880634</v>
      </c>
      <c r="W58">
        <v>49777768</v>
      </c>
      <c r="X58">
        <v>49777780</v>
      </c>
      <c r="Y58">
        <v>49777780</v>
      </c>
    </row>
    <row r="59" spans="2:25" x14ac:dyDescent="0.25">
      <c r="B59">
        <v>4438</v>
      </c>
      <c r="C59">
        <v>2199</v>
      </c>
      <c r="D59">
        <v>2224</v>
      </c>
      <c r="E59">
        <v>3380</v>
      </c>
      <c r="F59">
        <v>5667</v>
      </c>
      <c r="G59">
        <v>2551</v>
      </c>
      <c r="H59">
        <v>659</v>
      </c>
      <c r="I59">
        <v>305</v>
      </c>
      <c r="J59">
        <v>337</v>
      </c>
      <c r="K59">
        <v>3457</v>
      </c>
      <c r="L59">
        <v>3548</v>
      </c>
      <c r="M59">
        <v>4198</v>
      </c>
      <c r="N59">
        <v>49777780</v>
      </c>
      <c r="O59">
        <v>49777768</v>
      </c>
      <c r="P59">
        <v>24872376</v>
      </c>
      <c r="Q59">
        <v>49777780</v>
      </c>
      <c r="R59">
        <v>49777780</v>
      </c>
      <c r="S59">
        <v>49777768</v>
      </c>
      <c r="T59">
        <v>49777780</v>
      </c>
      <c r="U59">
        <v>49777768</v>
      </c>
      <c r="V59">
        <v>21880634</v>
      </c>
      <c r="W59">
        <v>49777768</v>
      </c>
      <c r="X59">
        <v>49777780</v>
      </c>
      <c r="Y59">
        <v>49777780</v>
      </c>
    </row>
    <row r="60" spans="2:25" x14ac:dyDescent="0.25">
      <c r="B60">
        <v>4585</v>
      </c>
      <c r="C60">
        <v>2365</v>
      </c>
      <c r="D60">
        <v>2331</v>
      </c>
      <c r="E60">
        <v>3568</v>
      </c>
      <c r="F60">
        <v>5732</v>
      </c>
      <c r="G60">
        <v>2546</v>
      </c>
      <c r="H60">
        <v>684</v>
      </c>
      <c r="I60">
        <v>304</v>
      </c>
      <c r="J60">
        <v>324</v>
      </c>
      <c r="K60">
        <v>3518</v>
      </c>
      <c r="L60">
        <v>3483</v>
      </c>
      <c r="M60">
        <v>4067</v>
      </c>
      <c r="N60">
        <v>49777780</v>
      </c>
      <c r="O60">
        <v>49777768</v>
      </c>
      <c r="P60">
        <v>24872376</v>
      </c>
      <c r="Q60">
        <v>49777780</v>
      </c>
      <c r="R60">
        <v>49777780</v>
      </c>
      <c r="S60">
        <v>49777768</v>
      </c>
      <c r="T60">
        <v>49777780</v>
      </c>
      <c r="U60">
        <v>49777768</v>
      </c>
      <c r="V60">
        <v>21880634</v>
      </c>
      <c r="W60">
        <v>49777768</v>
      </c>
      <c r="X60">
        <v>49777780</v>
      </c>
      <c r="Y60">
        <v>49777780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10201</v>
      </c>
      <c r="C64">
        <v>4488</v>
      </c>
      <c r="D64">
        <v>4622</v>
      </c>
      <c r="E64">
        <v>12604</v>
      </c>
      <c r="F64">
        <v>7809</v>
      </c>
      <c r="G64">
        <v>5448</v>
      </c>
      <c r="H64">
        <v>1665</v>
      </c>
      <c r="I64">
        <v>555</v>
      </c>
      <c r="J64">
        <v>562</v>
      </c>
      <c r="K64">
        <v>8977</v>
      </c>
      <c r="L64">
        <v>3899</v>
      </c>
      <c r="M64">
        <v>5629</v>
      </c>
    </row>
    <row r="65" spans="2:13" x14ac:dyDescent="0.25">
      <c r="B65">
        <v>10278</v>
      </c>
      <c r="C65">
        <v>4566</v>
      </c>
      <c r="D65">
        <v>4680</v>
      </c>
      <c r="E65">
        <v>12596</v>
      </c>
      <c r="F65">
        <v>8330</v>
      </c>
      <c r="G65">
        <v>5437</v>
      </c>
      <c r="H65">
        <v>1679</v>
      </c>
      <c r="I65">
        <v>608</v>
      </c>
      <c r="J65">
        <v>529</v>
      </c>
      <c r="K65">
        <v>9012</v>
      </c>
      <c r="L65">
        <v>3760</v>
      </c>
      <c r="M65">
        <v>5385</v>
      </c>
    </row>
    <row r="66" spans="2:13" x14ac:dyDescent="0.25">
      <c r="B66">
        <v>9980</v>
      </c>
      <c r="C66">
        <v>4176</v>
      </c>
      <c r="D66">
        <v>4439</v>
      </c>
      <c r="E66">
        <v>12595</v>
      </c>
      <c r="F66">
        <v>7999</v>
      </c>
      <c r="G66">
        <v>5294</v>
      </c>
      <c r="H66">
        <v>1670</v>
      </c>
      <c r="I66">
        <v>554</v>
      </c>
      <c r="J66">
        <v>522</v>
      </c>
      <c r="K66">
        <v>8710</v>
      </c>
      <c r="L66">
        <v>3741</v>
      </c>
      <c r="M66">
        <v>5694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39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AVERAGE(Table27[Newtonsoft])</f>
        <v>9816</v>
      </c>
      <c r="D38" s="2">
        <f>AVERAGE(Table27[Revenj])</f>
        <v>10026.333333333334</v>
      </c>
      <c r="E38" s="2">
        <f>AVERAGE(Table27[ProtoBuf (binary reference)])</f>
        <v>9794.3333333333339</v>
      </c>
      <c r="F38" s="2">
        <f>AVERAGE(Table27[Service Stack])</f>
        <v>9867.6666666666661</v>
      </c>
      <c r="G38" s="2">
        <f>AVERAGE(Table27[Jil])</f>
        <v>9779.3333333333339</v>
      </c>
      <c r="H38" s="2">
        <f>AVERAGE(Table27[NetJSON])</f>
        <v>10996.666666666666</v>
      </c>
      <c r="I38" s="2">
        <f>AVERAGE(Table27[Jackson])</f>
        <v>738</v>
      </c>
      <c r="J38" s="2">
        <f>AVERAGE(Table27[DSL-JSON])</f>
        <v>748.66666666666663</v>
      </c>
      <c r="K38" s="2">
        <f>AVERAGE(Table27[Kryo (binary reference)])</f>
        <v>724.33333333333337</v>
      </c>
      <c r="L38" s="2">
        <f>AVERAGE(Table27[Boon])</f>
        <v>736.33333333333337</v>
      </c>
      <c r="M38" s="2">
        <f>AVERAGE(Table27[Alibaba])</f>
        <v>743.33333333333337</v>
      </c>
      <c r="N38" s="2">
        <f>AVERAGE(Table27[Gson])</f>
        <v>767</v>
      </c>
      <c r="O38" s="2"/>
      <c r="P38" s="2"/>
      <c r="Q38" s="2"/>
    </row>
    <row r="39" spans="2:17" x14ac:dyDescent="0.25">
      <c r="B39" t="s">
        <v>0</v>
      </c>
      <c r="C39" s="2">
        <f>AVERAGE(Table26[Newtonsoft]) - C38</f>
        <v>32261.666666666664</v>
      </c>
      <c r="D39" s="2">
        <f>AVERAGE(Table26[Revenj]) - D38</f>
        <v>10536.666666666666</v>
      </c>
      <c r="E39" s="2">
        <f>AVERAGE(Table26[ProtoBuf (binary reference)]) - E38</f>
        <v>9826.3333333333339</v>
      </c>
      <c r="F39" s="2">
        <f>AVERAGE(Table26[Service Stack]) - F38</f>
        <v>21551</v>
      </c>
      <c r="G39" s="2">
        <f>AVERAGE(Table26[Jil]) - G38</f>
        <v>42678.666666666664</v>
      </c>
      <c r="H39" s="2">
        <f>AVERAGE(Table26[NetJSON]) - H38</f>
        <v>13363.666666666666</v>
      </c>
      <c r="I39" s="2">
        <f>AVERAGE(Table26[Jackson]) - I38</f>
        <v>4280</v>
      </c>
      <c r="J39" s="2">
        <f>AVERAGE(Table26[DSL-JSON]) - J38</f>
        <v>1443.666666666667</v>
      </c>
      <c r="K39" s="2">
        <f>AVERAGE(Table26[Kryo (binary reference)]) - K38</f>
        <v>1458.6666666666665</v>
      </c>
      <c r="L39" s="2">
        <f>AVERAGE(Table26[Boon]) - L38</f>
        <v>28440</v>
      </c>
      <c r="M39" s="2">
        <f>AVERAGE(Table26[Alibaba]) - M38</f>
        <v>25486.333333333336</v>
      </c>
      <c r="N39" s="2">
        <f>AVERAGE(Table26[Gson]) - N38</f>
        <v>32952.333333333336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59102</v>
      </c>
      <c r="D40" s="2">
        <f t="shared" si="0"/>
        <v>22699.666666666664</v>
      </c>
      <c r="E40" s="2">
        <f t="shared" ref="E40" si="1">E41 - E39 - E38</f>
        <v>22155.666666666664</v>
      </c>
      <c r="F40" s="2">
        <f t="shared" si="0"/>
        <v>93065.333333333328</v>
      </c>
      <c r="G40" s="2">
        <f t="shared" si="0"/>
        <v>25191.333333333328</v>
      </c>
      <c r="H40" s="2">
        <f t="shared" si="0"/>
        <v>27481.333333333336</v>
      </c>
      <c r="I40" s="2">
        <f t="shared" ref="I40" si="2">I41 - I39 - I38</f>
        <v>5915.6666666666661</v>
      </c>
      <c r="J40" s="2">
        <f t="shared" ref="J40" si="3">J41 - J39 - J38</f>
        <v>2209.6666666666665</v>
      </c>
      <c r="K40" s="2">
        <f t="shared" ref="K40:L40" si="4">K41 - K39 - K38</f>
        <v>1585</v>
      </c>
      <c r="L40" s="2">
        <f t="shared" si="4"/>
        <v>51617.333333333336</v>
      </c>
      <c r="M40" s="2">
        <f t="shared" ref="M40" si="5">M41 - M39 - M38</f>
        <v>4527.9999999999991</v>
      </c>
      <c r="N40" s="2">
        <f t="shared" ref="N40" si="6">N41 - N39 - N38</f>
        <v>13164</v>
      </c>
      <c r="O40" s="2"/>
      <c r="P40" s="2"/>
      <c r="Q40" s="2"/>
    </row>
    <row r="41" spans="2:17" x14ac:dyDescent="0.25">
      <c r="B41" t="s">
        <v>23</v>
      </c>
      <c r="C41" s="2">
        <f>AVERAGE(Table28[Newtonsoft])</f>
        <v>101179.66666666667</v>
      </c>
      <c r="D41" s="2">
        <f>AVERAGE(Table28[Revenj])</f>
        <v>43262.666666666664</v>
      </c>
      <c r="E41" s="2">
        <f>AVERAGE(Table28[ProtoBuf (binary reference)])</f>
        <v>41776.333333333336</v>
      </c>
      <c r="F41" s="2">
        <f>AVERAGE(Table28[Service Stack])</f>
        <v>124484</v>
      </c>
      <c r="G41" s="2">
        <f>AVERAGE(Table28[Jil])</f>
        <v>77649.333333333328</v>
      </c>
      <c r="H41" s="2">
        <f>AVERAGE(Table28[NetJSON])</f>
        <v>51841.666666666664</v>
      </c>
      <c r="I41" s="2">
        <f>AVERAGE(Table28[Jackson])</f>
        <v>10933.666666666666</v>
      </c>
      <c r="J41" s="2">
        <f>AVERAGE(Table28[DSL-JSON])</f>
        <v>4402</v>
      </c>
      <c r="K41" s="2">
        <f>AVERAGE(Table28[Kryo (binary reference)])</f>
        <v>3768</v>
      </c>
      <c r="L41" s="2">
        <f>AVERAGE(Table28[Boon])</f>
        <v>80793.666666666672</v>
      </c>
      <c r="M41" s="2">
        <f>AVERAGE(Table28[Alibaba])</f>
        <v>30757.666666666668</v>
      </c>
      <c r="N41" s="2">
        <f>AVERAGE(Table28[Gson])</f>
        <v>46883.333333333336</v>
      </c>
      <c r="O41" s="2"/>
      <c r="P41" s="2"/>
      <c r="Q41" s="2"/>
    </row>
    <row r="42" spans="2:17" x14ac:dyDescent="0.25">
      <c r="B42" t="s">
        <v>4</v>
      </c>
      <c r="C42" s="3">
        <f>AVERAGE(Table26[Newtonsoft (size)])</f>
        <v>517777780</v>
      </c>
      <c r="D42" s="3">
        <f>AVERAGE(Table26[Revenj (size)])</f>
        <v>517777768</v>
      </c>
      <c r="E42" s="3">
        <f>AVERAGE(Table26[ProtoBuf (size)])</f>
        <v>266775224</v>
      </c>
      <c r="F42" s="3">
        <f>AVERAGE(Table26[Service Stack (size)])</f>
        <v>517777780</v>
      </c>
      <c r="G42" s="2">
        <f>AVERAGE(Table26[Jil (size)])</f>
        <v>517777780</v>
      </c>
      <c r="H42" s="2">
        <f>AVERAGE(Table26[NetJSON (size)])</f>
        <v>517777768</v>
      </c>
      <c r="I42" s="2">
        <f>AVERAGE(Table26[Jackson (size)])</f>
        <v>517777780</v>
      </c>
      <c r="J42" s="2">
        <f>AVERAGE(Table26[DSL-JSON (size)])</f>
        <v>517777768</v>
      </c>
      <c r="K42" s="2">
        <f>AVERAGE(Table26[Kryo (size)])</f>
        <v>237832058</v>
      </c>
      <c r="L42" s="2">
        <f>AVERAGE(Table26[Boon (size)])</f>
        <v>517777768</v>
      </c>
      <c r="M42" s="2">
        <f>AVERAGE(Table26[Alibaba (size)])</f>
        <v>517777780</v>
      </c>
      <c r="N42" s="2">
        <f>AVERAGE(Table26[Gson (size)])</f>
        <v>517777780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DEVSQ(Table26[Newtonsoft])</f>
        <v>2514210.6666666665</v>
      </c>
      <c r="D47" s="2">
        <f>DEVSQ(Table26[Revenj])</f>
        <v>481688</v>
      </c>
      <c r="E47" s="2">
        <f>DEVSQ(Table26[ProtoBuf (binary reference)])</f>
        <v>294610.66666666669</v>
      </c>
      <c r="F47" s="2">
        <f>DEVSQ(Table26[Service Stack])</f>
        <v>6731040.6666666679</v>
      </c>
      <c r="G47" s="2">
        <f>DEVSQ(Table26[Jil])</f>
        <v>2982182</v>
      </c>
      <c r="H47" s="2">
        <f>DEVSQ(Table26[NetJSON])</f>
        <v>1601816.6666666667</v>
      </c>
      <c r="I47" s="2">
        <f>DEVSQ(Table26[Jackson])</f>
        <v>87776</v>
      </c>
      <c r="J47" s="2">
        <f>DEVSQ(Table26[DSL-JSON])</f>
        <v>1322.6666666666665</v>
      </c>
      <c r="K47" s="2">
        <f>DEVSQ(Table26[Kryo (binary reference)])</f>
        <v>4712</v>
      </c>
      <c r="L47" s="2">
        <f>DEVSQ(Table26[Boon])</f>
        <v>100788.66666666666</v>
      </c>
      <c r="M47" s="2">
        <f>DEVSQ(Table26[Alibaba])</f>
        <v>5372.666666666667</v>
      </c>
      <c r="N47" s="2">
        <f>DEVSQ(Table26[Gson])</f>
        <v>115688.66666666666</v>
      </c>
      <c r="O47" s="2"/>
      <c r="P47" s="2"/>
      <c r="Q47" s="2"/>
    </row>
    <row r="48" spans="2:17" x14ac:dyDescent="0.25">
      <c r="B48" t="s">
        <v>23</v>
      </c>
      <c r="C48" s="2">
        <f>DEVSQ(Table28[Newtonsoft])</f>
        <v>8254216.666666667</v>
      </c>
      <c r="D48" s="2">
        <f>DEVSQ(Table28[Revenj])</f>
        <v>707760.66666666674</v>
      </c>
      <c r="E48" s="2">
        <f>DEVSQ(Table28[ProtoBuf (binary reference)])</f>
        <v>4941964.666666667</v>
      </c>
      <c r="F48" s="2">
        <f>DEVSQ(Table28[Service Stack])</f>
        <v>499178</v>
      </c>
      <c r="G48" s="2">
        <f>DEVSQ(Table28[Jil])</f>
        <v>4686978.666666667</v>
      </c>
      <c r="H48" s="2">
        <f>DEVSQ(Table28[NetJSON])</f>
        <v>1071720.6666666667</v>
      </c>
      <c r="I48" s="2">
        <f>DEVSQ(Table28[Jackson])</f>
        <v>369000.66666666663</v>
      </c>
      <c r="J48" s="2">
        <f>DEVSQ(Table28[DSL-JSON])</f>
        <v>87846</v>
      </c>
      <c r="K48" s="2">
        <f>DEVSQ(Table28[Kryo (binary reference)])</f>
        <v>1098</v>
      </c>
      <c r="L48" s="2">
        <f>DEVSQ(Table28[Boon])</f>
        <v>280928.66666666663</v>
      </c>
      <c r="M48" s="2">
        <f>DEVSQ(Table28[Alibaba])</f>
        <v>271952.66666666669</v>
      </c>
      <c r="N48" s="2">
        <f>DEVSQ(Table28[Gson])</f>
        <v>208802.66666666666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10540</v>
      </c>
      <c r="C52">
        <v>9565</v>
      </c>
      <c r="D52">
        <v>9996</v>
      </c>
      <c r="E52">
        <v>9649</v>
      </c>
      <c r="F52">
        <v>9810</v>
      </c>
      <c r="G52">
        <v>10923</v>
      </c>
      <c r="H52">
        <v>733</v>
      </c>
      <c r="I52">
        <v>765</v>
      </c>
      <c r="J52">
        <v>717</v>
      </c>
      <c r="K52">
        <v>775</v>
      </c>
      <c r="L52">
        <v>823</v>
      </c>
      <c r="M52">
        <v>777</v>
      </c>
    </row>
    <row r="53" spans="2:25" x14ac:dyDescent="0.25">
      <c r="B53">
        <v>9789</v>
      </c>
      <c r="C53">
        <v>10431</v>
      </c>
      <c r="D53">
        <v>10250</v>
      </c>
      <c r="E53">
        <v>10230</v>
      </c>
      <c r="F53">
        <v>9229</v>
      </c>
      <c r="G53">
        <v>10844</v>
      </c>
      <c r="H53">
        <v>759</v>
      </c>
      <c r="I53">
        <v>770</v>
      </c>
      <c r="J53">
        <v>735</v>
      </c>
      <c r="K53">
        <v>718</v>
      </c>
      <c r="L53">
        <v>704</v>
      </c>
      <c r="M53">
        <v>769</v>
      </c>
    </row>
    <row r="54" spans="2:25" x14ac:dyDescent="0.25">
      <c r="B54">
        <v>9119</v>
      </c>
      <c r="C54">
        <v>10083</v>
      </c>
      <c r="D54">
        <v>9137</v>
      </c>
      <c r="E54">
        <v>9724</v>
      </c>
      <c r="F54">
        <v>10299</v>
      </c>
      <c r="G54">
        <v>11223</v>
      </c>
      <c r="H54">
        <v>722</v>
      </c>
      <c r="I54">
        <v>711</v>
      </c>
      <c r="J54">
        <v>721</v>
      </c>
      <c r="K54">
        <v>716</v>
      </c>
      <c r="L54">
        <v>703</v>
      </c>
      <c r="M54">
        <v>755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42297</v>
      </c>
      <c r="C58">
        <v>20045</v>
      </c>
      <c r="D58">
        <v>20018</v>
      </c>
      <c r="E58">
        <v>33045</v>
      </c>
      <c r="F58">
        <v>53769</v>
      </c>
      <c r="G58">
        <v>25372</v>
      </c>
      <c r="H58">
        <v>4974</v>
      </c>
      <c r="I58">
        <v>2211</v>
      </c>
      <c r="J58">
        <v>2153</v>
      </c>
      <c r="K58">
        <v>29434</v>
      </c>
      <c r="L58">
        <v>26286</v>
      </c>
      <c r="M58">
        <v>33961</v>
      </c>
      <c r="N58">
        <v>517777780</v>
      </c>
      <c r="O58">
        <v>517777768</v>
      </c>
      <c r="P58">
        <v>266775224</v>
      </c>
      <c r="Q58">
        <v>517777780</v>
      </c>
      <c r="R58">
        <v>517777780</v>
      </c>
      <c r="S58">
        <v>517777768</v>
      </c>
      <c r="T58">
        <v>517777780</v>
      </c>
      <c r="U58">
        <v>517777768</v>
      </c>
      <c r="V58">
        <v>237832058</v>
      </c>
      <c r="W58">
        <v>517777768</v>
      </c>
      <c r="X58">
        <v>517777780</v>
      </c>
      <c r="Y58">
        <v>517777780</v>
      </c>
    </row>
    <row r="59" spans="2:25" x14ac:dyDescent="0.25">
      <c r="B59">
        <v>40863</v>
      </c>
      <c r="C59">
        <v>21021</v>
      </c>
      <c r="D59">
        <v>19252</v>
      </c>
      <c r="E59">
        <v>29430</v>
      </c>
      <c r="F59">
        <v>52252</v>
      </c>
      <c r="G59">
        <v>24037</v>
      </c>
      <c r="H59">
        <v>5246</v>
      </c>
      <c r="I59">
        <v>2203</v>
      </c>
      <c r="J59">
        <v>2239</v>
      </c>
      <c r="K59">
        <v>29072</v>
      </c>
      <c r="L59">
        <v>26184</v>
      </c>
      <c r="M59">
        <v>33717</v>
      </c>
      <c r="N59">
        <v>517777780</v>
      </c>
      <c r="O59">
        <v>517777768</v>
      </c>
      <c r="P59">
        <v>266775224</v>
      </c>
      <c r="Q59">
        <v>517777780</v>
      </c>
      <c r="R59">
        <v>517777780</v>
      </c>
      <c r="S59">
        <v>517777768</v>
      </c>
      <c r="T59">
        <v>517777780</v>
      </c>
      <c r="U59">
        <v>517777768</v>
      </c>
      <c r="V59">
        <v>237832058</v>
      </c>
      <c r="W59">
        <v>517777768</v>
      </c>
      <c r="X59">
        <v>517777780</v>
      </c>
      <c r="Y59">
        <v>517777780</v>
      </c>
    </row>
    <row r="60" spans="2:25" x14ac:dyDescent="0.25">
      <c r="B60">
        <v>43073</v>
      </c>
      <c r="C60">
        <v>20623</v>
      </c>
      <c r="D60">
        <v>19592</v>
      </c>
      <c r="E60">
        <v>31781</v>
      </c>
      <c r="F60">
        <v>51353</v>
      </c>
      <c r="G60">
        <v>23672</v>
      </c>
      <c r="H60">
        <v>4834</v>
      </c>
      <c r="I60">
        <v>2163</v>
      </c>
      <c r="J60">
        <v>2157</v>
      </c>
      <c r="K60">
        <v>29023</v>
      </c>
      <c r="L60">
        <v>26219</v>
      </c>
      <c r="M60">
        <v>33480</v>
      </c>
      <c r="N60">
        <v>517777780</v>
      </c>
      <c r="O60">
        <v>517777768</v>
      </c>
      <c r="P60">
        <v>266775224</v>
      </c>
      <c r="Q60">
        <v>517777780</v>
      </c>
      <c r="R60">
        <v>517777780</v>
      </c>
      <c r="S60">
        <v>517777768</v>
      </c>
      <c r="T60">
        <v>517777780</v>
      </c>
      <c r="U60">
        <v>517777768</v>
      </c>
      <c r="V60">
        <v>237832058</v>
      </c>
      <c r="W60">
        <v>517777768</v>
      </c>
      <c r="X60">
        <v>517777780</v>
      </c>
      <c r="Y60">
        <v>517777780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99768</v>
      </c>
      <c r="C64">
        <v>43919</v>
      </c>
      <c r="D64">
        <v>40060</v>
      </c>
      <c r="E64">
        <v>124456</v>
      </c>
      <c r="F64">
        <v>75910</v>
      </c>
      <c r="G64">
        <v>52642</v>
      </c>
      <c r="H64">
        <v>10664</v>
      </c>
      <c r="I64">
        <v>4281</v>
      </c>
      <c r="J64">
        <v>3756</v>
      </c>
      <c r="K64">
        <v>80526</v>
      </c>
      <c r="L64">
        <v>30742</v>
      </c>
      <c r="M64">
        <v>46594</v>
      </c>
    </row>
    <row r="65" spans="2:13" x14ac:dyDescent="0.25">
      <c r="B65">
        <v>103508</v>
      </c>
      <c r="C65">
        <v>42759</v>
      </c>
      <c r="D65">
        <v>43146</v>
      </c>
      <c r="E65">
        <v>123999</v>
      </c>
      <c r="F65">
        <v>78792</v>
      </c>
      <c r="G65">
        <v>51206</v>
      </c>
      <c r="H65">
        <v>10708</v>
      </c>
      <c r="I65">
        <v>4281</v>
      </c>
      <c r="J65">
        <v>3795</v>
      </c>
      <c r="K65">
        <v>80633</v>
      </c>
      <c r="L65">
        <v>30397</v>
      </c>
      <c r="M65">
        <v>47232</v>
      </c>
    </row>
    <row r="66" spans="2:13" x14ac:dyDescent="0.25">
      <c r="B66">
        <v>100263</v>
      </c>
      <c r="C66">
        <v>43110</v>
      </c>
      <c r="D66">
        <v>42123</v>
      </c>
      <c r="E66">
        <v>124997</v>
      </c>
      <c r="F66">
        <v>78246</v>
      </c>
      <c r="G66">
        <v>51677</v>
      </c>
      <c r="H66">
        <v>11429</v>
      </c>
      <c r="I66">
        <v>4644</v>
      </c>
      <c r="J66">
        <v>3753</v>
      </c>
      <c r="K66">
        <v>81222</v>
      </c>
      <c r="L66">
        <v>31134</v>
      </c>
      <c r="M66">
        <v>46824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40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AVERAGE(Table32[Newtonsoft])</f>
        <v>74.666666666666671</v>
      </c>
      <c r="D38" s="2">
        <f>AVERAGE(Table32[Revenj])</f>
        <v>77.333333333333329</v>
      </c>
      <c r="E38" s="2">
        <f>AVERAGE(Table32[ProtoBuf (binary reference)])</f>
        <v>78.666666666666671</v>
      </c>
      <c r="F38" s="2">
        <f>AVERAGE(Table32[Service Stack])</f>
        <v>78.333333333333329</v>
      </c>
      <c r="G38" s="2">
        <f>AVERAGE(Table32[Jil])</f>
        <v>83.666666666666671</v>
      </c>
      <c r="H38" s="2">
        <f>AVERAGE(Table32[NetJSON])</f>
        <v>79.666666666666671</v>
      </c>
      <c r="I38" s="2">
        <f>AVERAGE(Table32[Jackson])</f>
        <v>75</v>
      </c>
      <c r="J38" s="2">
        <f>AVERAGE(Table32[DSL-JSON])</f>
        <v>80</v>
      </c>
      <c r="K38" s="2">
        <f>AVERAGE(Table32[Kryo (binary reference)])</f>
        <v>73.333333333333329</v>
      </c>
      <c r="L38" s="2">
        <f>AVERAGE(Table32[Boon])</f>
        <v>77</v>
      </c>
      <c r="M38" s="2">
        <f>AVERAGE(Table32[Alibaba])</f>
        <v>74.666666666666671</v>
      </c>
      <c r="N38" s="2">
        <f>AVERAGE(Table32[Gson])</f>
        <v>70.333333333333329</v>
      </c>
      <c r="O38" s="2"/>
      <c r="P38" s="2"/>
      <c r="Q38" s="2"/>
    </row>
    <row r="39" spans="2:17" x14ac:dyDescent="0.25">
      <c r="B39" t="s">
        <v>0</v>
      </c>
      <c r="C39" s="2">
        <f>AVERAGE(Table31[Newtonsoft]) - C38</f>
        <v>566</v>
      </c>
      <c r="D39" s="2">
        <f>AVERAGE(Table31[Revenj]) - D38</f>
        <v>215.33333333333337</v>
      </c>
      <c r="E39" s="2">
        <f>AVERAGE(Table31[ProtoBuf (binary reference)]) - E38</f>
        <v>99.333333333333329</v>
      </c>
      <c r="F39" s="2">
        <f>AVERAGE(Table31[Service Stack]) - F38</f>
        <v>347.66666666666669</v>
      </c>
      <c r="G39" s="2">
        <f>AVERAGE(Table31[Jil]) - G38</f>
        <v>502.66666666666669</v>
      </c>
      <c r="H39" s="2">
        <f>AVERAGE(Table31[NetJSON]) - H38</f>
        <v>218.66666666666663</v>
      </c>
      <c r="I39" s="2">
        <f>AVERAGE(Table31[Jackson]) - I38</f>
        <v>184.33333333333331</v>
      </c>
      <c r="J39" s="2">
        <f>AVERAGE(Table31[DSL-JSON]) - J38</f>
        <v>131</v>
      </c>
      <c r="K39" s="2">
        <f>AVERAGE(Table31[Kryo (binary reference)]) - K38</f>
        <v>113.33333333333333</v>
      </c>
      <c r="L39" s="2">
        <f>AVERAGE(Table31[Boon]) - L38</f>
        <v>457.66666666666663</v>
      </c>
      <c r="M39" s="2">
        <f>AVERAGE(Table31[Alibaba]) - M38</f>
        <v>425</v>
      </c>
      <c r="N39" s="2">
        <f>AVERAGE(Table31[Gson]) - N38</f>
        <v>547.66666666666663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860.33333333333337</v>
      </c>
      <c r="D40" s="2">
        <f t="shared" si="0"/>
        <v>207.66666666666663</v>
      </c>
      <c r="E40" s="2">
        <f t="shared" ref="E40" si="1">E41 - E39 - E38</f>
        <v>155</v>
      </c>
      <c r="F40" s="2">
        <f t="shared" si="0"/>
        <v>933.66666666666663</v>
      </c>
      <c r="G40" s="2">
        <f t="shared" si="0"/>
        <v>270</v>
      </c>
      <c r="H40" s="2">
        <f t="shared" si="0"/>
        <v>321.33333333333331</v>
      </c>
      <c r="I40" s="2">
        <f t="shared" ref="I40" si="2">I41 - I39 - I38</f>
        <v>202</v>
      </c>
      <c r="J40" s="2">
        <f t="shared" ref="J40" si="3">J41 - J39 - J38</f>
        <v>108</v>
      </c>
      <c r="K40" s="2">
        <f t="shared" ref="K40:L40" si="4">K41 - K39 - K38</f>
        <v>149.33333333333337</v>
      </c>
      <c r="L40" s="2">
        <f t="shared" si="4"/>
        <v>816.66666666666663</v>
      </c>
      <c r="M40" s="2">
        <f t="shared" ref="M40" si="5">M41 - M39 - M38</f>
        <v>231.33333333333331</v>
      </c>
      <c r="N40" s="2">
        <f t="shared" ref="N40" si="6">N41 - N39 - N38</f>
        <v>300.66666666666669</v>
      </c>
      <c r="O40" s="2"/>
      <c r="P40" s="2"/>
      <c r="Q40" s="2"/>
    </row>
    <row r="41" spans="2:17" x14ac:dyDescent="0.25">
      <c r="B41" t="s">
        <v>23</v>
      </c>
      <c r="C41" s="2">
        <f>AVERAGE(Table33[Newtonsoft])</f>
        <v>1501</v>
      </c>
      <c r="D41" s="2">
        <f>AVERAGE(Table33[Revenj])</f>
        <v>500.33333333333331</v>
      </c>
      <c r="E41" s="2">
        <f>AVERAGE(Table33[ProtoBuf (binary reference)])</f>
        <v>333</v>
      </c>
      <c r="F41" s="2">
        <f>AVERAGE(Table33[Service Stack])</f>
        <v>1359.6666666666667</v>
      </c>
      <c r="G41" s="2">
        <f>AVERAGE(Table33[Jil])</f>
        <v>856.33333333333337</v>
      </c>
      <c r="H41" s="2">
        <f>AVERAGE(Table33[NetJSON])</f>
        <v>619.66666666666663</v>
      </c>
      <c r="I41" s="2">
        <f>AVERAGE(Table33[Jackson])</f>
        <v>461.33333333333331</v>
      </c>
      <c r="J41" s="2">
        <f>AVERAGE(Table33[DSL-JSON])</f>
        <v>319</v>
      </c>
      <c r="K41" s="2">
        <f>AVERAGE(Table33[Kryo (binary reference)])</f>
        <v>336</v>
      </c>
      <c r="L41" s="2">
        <f>AVERAGE(Table33[Boon])</f>
        <v>1351.3333333333333</v>
      </c>
      <c r="M41" s="2">
        <f>AVERAGE(Table33[Alibaba])</f>
        <v>731</v>
      </c>
      <c r="N41" s="2">
        <f>AVERAGE(Table33[Gson])</f>
        <v>918.66666666666663</v>
      </c>
      <c r="O41" s="2"/>
      <c r="P41" s="2"/>
      <c r="Q41" s="2"/>
    </row>
    <row r="42" spans="2:17" x14ac:dyDescent="0.25">
      <c r="B42" t="s">
        <v>4</v>
      </c>
      <c r="C42" s="3">
        <f>AVERAGE(Table31[Newtonsoft (size)])</f>
        <v>3346889</v>
      </c>
      <c r="D42" s="3">
        <f>AVERAGE(Table31[Revenj (size)])</f>
        <v>3346472</v>
      </c>
      <c r="E42" s="3">
        <f>AVERAGE(Table31[ProtoBuf (size)])</f>
        <v>1658087</v>
      </c>
      <c r="F42" s="3">
        <f>AVERAGE(Table31[Service Stack (size)])</f>
        <v>3346489</v>
      </c>
      <c r="G42" s="2">
        <f>AVERAGE(Table31[Jil (size)])</f>
        <v>3346489</v>
      </c>
      <c r="H42" s="2">
        <f>AVERAGE(Table31[NetJSON (size)])</f>
        <v>3346472</v>
      </c>
      <c r="I42" s="2">
        <f>AVERAGE(Table31[Jackson (size)])</f>
        <v>3346889</v>
      </c>
      <c r="J42" s="2">
        <f>AVERAGE(Table31[DSL-JSON (size)])</f>
        <v>3346868</v>
      </c>
      <c r="K42" s="2">
        <f>AVERAGE(Table31[Kryo (size)])</f>
        <v>3351895</v>
      </c>
      <c r="L42" s="2">
        <f>AVERAGE(Table31[Boon (size)])</f>
        <v>3346875</v>
      </c>
      <c r="M42" s="2">
        <f>AVERAGE(Table31[Alibaba (size)])</f>
        <v>3346689</v>
      </c>
      <c r="N42" s="2">
        <f>AVERAGE(Table31[Gson (size)])</f>
        <v>3346889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DEVSQ(Table31[Newtonsoft])</f>
        <v>152.66666666666669</v>
      </c>
      <c r="D47" s="2">
        <f>DEVSQ(Table31[Revenj])</f>
        <v>80.666666666666671</v>
      </c>
      <c r="E47" s="2">
        <f>DEVSQ(Table31[ProtoBuf (binary reference)])</f>
        <v>98</v>
      </c>
      <c r="F47" s="2">
        <f>DEVSQ(Table31[Service Stack])</f>
        <v>152</v>
      </c>
      <c r="G47" s="2">
        <f>DEVSQ(Table31[Jil])</f>
        <v>112.66666666666666</v>
      </c>
      <c r="H47" s="2">
        <f>DEVSQ(Table31[NetJSON])</f>
        <v>580.66666666666663</v>
      </c>
      <c r="I47" s="2">
        <f>DEVSQ(Table31[Jackson])</f>
        <v>370.66666666666663</v>
      </c>
      <c r="J47" s="2">
        <f>DEVSQ(Table31[DSL-JSON])</f>
        <v>62</v>
      </c>
      <c r="K47" s="2">
        <f>DEVSQ(Table31[Kryo (binary reference)])</f>
        <v>98.666666666666657</v>
      </c>
      <c r="L47" s="2">
        <f>DEVSQ(Table31[Boon])</f>
        <v>180.66666666666669</v>
      </c>
      <c r="M47" s="2">
        <f>DEVSQ(Table31[Alibaba])</f>
        <v>224.66666666666666</v>
      </c>
      <c r="N47" s="2">
        <f>DEVSQ(Table31[Gson])</f>
        <v>294</v>
      </c>
      <c r="O47" s="2"/>
      <c r="P47" s="2"/>
      <c r="Q47" s="2"/>
    </row>
    <row r="48" spans="2:17" x14ac:dyDescent="0.25">
      <c r="B48" t="s">
        <v>23</v>
      </c>
      <c r="C48" s="2">
        <f>DEVSQ(Table33[Newtonsoft])</f>
        <v>842</v>
      </c>
      <c r="D48" s="2">
        <f>DEVSQ(Table33[Revenj])</f>
        <v>266.66666666666663</v>
      </c>
      <c r="E48" s="2">
        <f>DEVSQ(Table33[ProtoBuf (binary reference)])</f>
        <v>2666</v>
      </c>
      <c r="F48" s="2">
        <f>DEVSQ(Table33[Service Stack])</f>
        <v>452.66666666666669</v>
      </c>
      <c r="G48" s="2">
        <f>DEVSQ(Table33[Jil])</f>
        <v>364.66666666666669</v>
      </c>
      <c r="H48" s="2">
        <f>DEVSQ(Table33[NetJSON])</f>
        <v>594.66666666666663</v>
      </c>
      <c r="I48" s="2">
        <f>DEVSQ(Table33[Jackson])</f>
        <v>516.66666666666663</v>
      </c>
      <c r="J48" s="2">
        <f>DEVSQ(Table33[DSL-JSON])</f>
        <v>2058</v>
      </c>
      <c r="K48" s="2">
        <f>DEVSQ(Table33[Kryo (binary reference)])</f>
        <v>218</v>
      </c>
      <c r="L48" s="2">
        <f>DEVSQ(Table33[Boon])</f>
        <v>338.66666666666663</v>
      </c>
      <c r="M48" s="2">
        <f>DEVSQ(Table33[Alibaba])</f>
        <v>806</v>
      </c>
      <c r="N48" s="2">
        <f>DEVSQ(Table33[Gson])</f>
        <v>1040.6666666666665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81</v>
      </c>
      <c r="C52">
        <v>78</v>
      </c>
      <c r="D52">
        <v>73</v>
      </c>
      <c r="E52">
        <v>79</v>
      </c>
      <c r="F52">
        <v>80</v>
      </c>
      <c r="G52">
        <v>79</v>
      </c>
      <c r="H52">
        <v>83</v>
      </c>
      <c r="I52">
        <v>81</v>
      </c>
      <c r="J52">
        <v>74</v>
      </c>
      <c r="K52">
        <v>81</v>
      </c>
      <c r="L52">
        <v>76</v>
      </c>
      <c r="M52">
        <v>69</v>
      </c>
    </row>
    <row r="53" spans="2:25" x14ac:dyDescent="0.25">
      <c r="B53">
        <v>71</v>
      </c>
      <c r="C53">
        <v>75</v>
      </c>
      <c r="D53">
        <v>82</v>
      </c>
      <c r="E53">
        <v>75</v>
      </c>
      <c r="F53">
        <v>84</v>
      </c>
      <c r="G53">
        <v>83</v>
      </c>
      <c r="H53">
        <v>71</v>
      </c>
      <c r="I53">
        <v>79</v>
      </c>
      <c r="J53">
        <v>73</v>
      </c>
      <c r="K53">
        <v>80</v>
      </c>
      <c r="L53">
        <v>75</v>
      </c>
      <c r="M53">
        <v>73</v>
      </c>
    </row>
    <row r="54" spans="2:25" x14ac:dyDescent="0.25">
      <c r="B54">
        <v>72</v>
      </c>
      <c r="C54">
        <v>79</v>
      </c>
      <c r="D54">
        <v>81</v>
      </c>
      <c r="E54">
        <v>81</v>
      </c>
      <c r="F54">
        <v>87</v>
      </c>
      <c r="G54">
        <v>77</v>
      </c>
      <c r="H54">
        <v>71</v>
      </c>
      <c r="I54">
        <v>80</v>
      </c>
      <c r="J54">
        <v>73</v>
      </c>
      <c r="K54">
        <v>70</v>
      </c>
      <c r="L54">
        <v>73</v>
      </c>
      <c r="M54">
        <v>69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648</v>
      </c>
      <c r="C58">
        <v>289</v>
      </c>
      <c r="D58">
        <v>181</v>
      </c>
      <c r="E58">
        <v>422</v>
      </c>
      <c r="F58">
        <v>586</v>
      </c>
      <c r="G58">
        <v>297</v>
      </c>
      <c r="H58">
        <v>244</v>
      </c>
      <c r="I58">
        <v>217</v>
      </c>
      <c r="J58">
        <v>186</v>
      </c>
      <c r="K58">
        <v>535</v>
      </c>
      <c r="L58">
        <v>490</v>
      </c>
      <c r="M58">
        <v>616</v>
      </c>
      <c r="N58">
        <v>3346889</v>
      </c>
      <c r="O58">
        <v>3346472</v>
      </c>
      <c r="P58">
        <v>1658087</v>
      </c>
      <c r="Q58">
        <v>3346489</v>
      </c>
      <c r="R58">
        <v>3346489</v>
      </c>
      <c r="S58">
        <v>3346472</v>
      </c>
      <c r="T58">
        <v>3346889</v>
      </c>
      <c r="U58">
        <v>3346868</v>
      </c>
      <c r="V58">
        <v>3351895</v>
      </c>
      <c r="W58">
        <v>3346875</v>
      </c>
      <c r="X58">
        <v>3346689</v>
      </c>
      <c r="Y58">
        <v>3346889</v>
      </c>
    </row>
    <row r="59" spans="2:25" x14ac:dyDescent="0.25">
      <c r="B59">
        <v>631</v>
      </c>
      <c r="C59">
        <v>289</v>
      </c>
      <c r="D59">
        <v>183</v>
      </c>
      <c r="E59">
        <v>436</v>
      </c>
      <c r="F59">
        <v>579</v>
      </c>
      <c r="G59">
        <v>282</v>
      </c>
      <c r="H59">
        <v>270</v>
      </c>
      <c r="I59">
        <v>206</v>
      </c>
      <c r="J59">
        <v>194</v>
      </c>
      <c r="K59">
        <v>544</v>
      </c>
      <c r="L59">
        <v>498</v>
      </c>
      <c r="M59">
        <v>607</v>
      </c>
      <c r="N59">
        <v>3346889</v>
      </c>
      <c r="O59">
        <v>3346472</v>
      </c>
      <c r="P59">
        <v>1658087</v>
      </c>
      <c r="Q59">
        <v>3346489</v>
      </c>
      <c r="R59">
        <v>3346489</v>
      </c>
      <c r="S59">
        <v>3346472</v>
      </c>
      <c r="T59">
        <v>3346889</v>
      </c>
      <c r="U59">
        <v>3346868</v>
      </c>
      <c r="V59">
        <v>3351895</v>
      </c>
      <c r="W59">
        <v>3346875</v>
      </c>
      <c r="X59">
        <v>3346689</v>
      </c>
      <c r="Y59">
        <v>3346889</v>
      </c>
    </row>
    <row r="60" spans="2:25" x14ac:dyDescent="0.25">
      <c r="B60">
        <v>643</v>
      </c>
      <c r="C60">
        <v>300</v>
      </c>
      <c r="D60">
        <v>170</v>
      </c>
      <c r="E60">
        <v>420</v>
      </c>
      <c r="F60">
        <v>594</v>
      </c>
      <c r="G60">
        <v>316</v>
      </c>
      <c r="H60">
        <v>264</v>
      </c>
      <c r="I60">
        <v>210</v>
      </c>
      <c r="J60">
        <v>180</v>
      </c>
      <c r="K60">
        <v>525</v>
      </c>
      <c r="L60">
        <v>511</v>
      </c>
      <c r="M60">
        <v>631</v>
      </c>
      <c r="N60">
        <v>3346889</v>
      </c>
      <c r="O60">
        <v>3346472</v>
      </c>
      <c r="P60">
        <v>1658087</v>
      </c>
      <c r="Q60">
        <v>3346489</v>
      </c>
      <c r="R60">
        <v>3346489</v>
      </c>
      <c r="S60">
        <v>3346472</v>
      </c>
      <c r="T60">
        <v>3346889</v>
      </c>
      <c r="U60">
        <v>3346868</v>
      </c>
      <c r="V60">
        <v>3351895</v>
      </c>
      <c r="W60">
        <v>3346875</v>
      </c>
      <c r="X60">
        <v>3346689</v>
      </c>
      <c r="Y60">
        <v>3346889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1502</v>
      </c>
      <c r="C64">
        <v>487</v>
      </c>
      <c r="D64">
        <v>369</v>
      </c>
      <c r="E64">
        <v>1374</v>
      </c>
      <c r="F64">
        <v>843</v>
      </c>
      <c r="G64">
        <v>601</v>
      </c>
      <c r="H64">
        <v>468</v>
      </c>
      <c r="I64">
        <v>336</v>
      </c>
      <c r="J64">
        <v>331</v>
      </c>
      <c r="K64">
        <v>1352</v>
      </c>
      <c r="L64">
        <v>740</v>
      </c>
      <c r="M64">
        <v>906</v>
      </c>
    </row>
    <row r="65" spans="2:13" x14ac:dyDescent="0.25">
      <c r="B65">
        <v>1480</v>
      </c>
      <c r="C65">
        <v>507</v>
      </c>
      <c r="D65">
        <v>334</v>
      </c>
      <c r="E65">
        <v>1344</v>
      </c>
      <c r="F65">
        <v>856</v>
      </c>
      <c r="G65">
        <v>635</v>
      </c>
      <c r="H65">
        <v>443</v>
      </c>
      <c r="I65">
        <v>282</v>
      </c>
      <c r="J65">
        <v>329</v>
      </c>
      <c r="K65">
        <v>1364</v>
      </c>
      <c r="L65">
        <v>745</v>
      </c>
      <c r="M65">
        <v>945</v>
      </c>
    </row>
    <row r="66" spans="2:13" x14ac:dyDescent="0.25">
      <c r="B66">
        <v>1521</v>
      </c>
      <c r="C66">
        <v>507</v>
      </c>
      <c r="D66">
        <v>296</v>
      </c>
      <c r="E66">
        <v>1361</v>
      </c>
      <c r="F66">
        <v>870</v>
      </c>
      <c r="G66">
        <v>623</v>
      </c>
      <c r="H66">
        <v>473</v>
      </c>
      <c r="I66">
        <v>339</v>
      </c>
      <c r="J66">
        <v>348</v>
      </c>
      <c r="K66">
        <v>1338</v>
      </c>
      <c r="L66">
        <v>708</v>
      </c>
      <c r="M66">
        <v>905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41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AVERAGE(Table37[Newtonsoft])</f>
        <v>700.33333333333337</v>
      </c>
      <c r="D38" s="2">
        <f>AVERAGE(Table37[Revenj])</f>
        <v>709.66666666666663</v>
      </c>
      <c r="E38" s="2">
        <f>AVERAGE(Table37[ProtoBuf (binary reference)])</f>
        <v>712</v>
      </c>
      <c r="F38" s="2">
        <f>AVERAGE(Table37[Service Stack])</f>
        <v>769</v>
      </c>
      <c r="G38" s="2">
        <f>AVERAGE(Table37[Jil])</f>
        <v>729.33333333333337</v>
      </c>
      <c r="H38" s="2">
        <f>AVERAGE(Table37[NetJSON])</f>
        <v>758.33333333333337</v>
      </c>
      <c r="I38" s="2">
        <f>AVERAGE(Table37[Jackson])</f>
        <v>357.66666666666669</v>
      </c>
      <c r="J38" s="2">
        <f>AVERAGE(Table37[DSL-JSON])</f>
        <v>361.66666666666669</v>
      </c>
      <c r="K38" s="2">
        <f>AVERAGE(Table37[Kryo (binary reference)])</f>
        <v>362</v>
      </c>
      <c r="L38" s="2">
        <f>AVERAGE(Table37[Boon])</f>
        <v>370.33333333333331</v>
      </c>
      <c r="M38" s="2">
        <f>AVERAGE(Table37[Alibaba])</f>
        <v>366.66666666666669</v>
      </c>
      <c r="N38" s="2">
        <f>AVERAGE(Table37[Gson])</f>
        <v>359</v>
      </c>
      <c r="O38" s="2"/>
      <c r="P38" s="2"/>
      <c r="Q38" s="2"/>
    </row>
    <row r="39" spans="2:17" x14ac:dyDescent="0.25">
      <c r="B39" t="s">
        <v>0</v>
      </c>
      <c r="C39" s="2">
        <f>AVERAGE(Table36[Newtonsoft]) - C38</f>
        <v>5678</v>
      </c>
      <c r="D39" s="2">
        <f>AVERAGE(Table36[Revenj]) - D38</f>
        <v>2050</v>
      </c>
      <c r="E39" s="2">
        <f>AVERAGE(Table36[ProtoBuf (binary reference)]) - E38</f>
        <v>988.66666666666674</v>
      </c>
      <c r="F39" s="2">
        <f>AVERAGE(Table36[Service Stack]) - F38</f>
        <v>3469.666666666667</v>
      </c>
      <c r="G39" s="2">
        <f>AVERAGE(Table36[Jil]) - G38</f>
        <v>5053.666666666667</v>
      </c>
      <c r="H39" s="2">
        <f>AVERAGE(Table36[NetJSON]) - H38</f>
        <v>2113.333333333333</v>
      </c>
      <c r="I39" s="2">
        <f>AVERAGE(Table36[Jackson]) - I38</f>
        <v>853</v>
      </c>
      <c r="J39" s="2">
        <f>AVERAGE(Table36[DSL-JSON]) - J38</f>
        <v>456.66666666666669</v>
      </c>
      <c r="K39" s="2">
        <f>AVERAGE(Table36[Kryo (binary reference)]) - K38</f>
        <v>411.33333333333337</v>
      </c>
      <c r="L39" s="2">
        <f>AVERAGE(Table36[Boon]) - L38</f>
        <v>3371</v>
      </c>
      <c r="M39" s="2">
        <f>AVERAGE(Table36[Alibaba]) - M38</f>
        <v>2814</v>
      </c>
      <c r="N39" s="2">
        <f>AVERAGE(Table36[Gson]) - N38</f>
        <v>3886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8542</v>
      </c>
      <c r="D40" s="2">
        <f t="shared" si="0"/>
        <v>2199.6666666666665</v>
      </c>
      <c r="E40" s="2">
        <f t="shared" ref="E40" si="1">E41 - E39 - E38</f>
        <v>1361.666666666667</v>
      </c>
      <c r="F40" s="2">
        <f t="shared" si="0"/>
        <v>9344.3333333333321</v>
      </c>
      <c r="G40" s="2">
        <f t="shared" si="0"/>
        <v>2721.9999999999995</v>
      </c>
      <c r="H40" s="2">
        <f t="shared" si="0"/>
        <v>3311.3333333333335</v>
      </c>
      <c r="I40" s="2">
        <f t="shared" ref="I40" si="2">I41 - I39 - I38</f>
        <v>1221.6666666666667</v>
      </c>
      <c r="J40" s="2">
        <f t="shared" ref="J40" si="3">J41 - J39 - J38</f>
        <v>532.33333333333326</v>
      </c>
      <c r="K40" s="2">
        <f t="shared" ref="K40:L40" si="4">K41 - K39 - K38</f>
        <v>559.33333333333337</v>
      </c>
      <c r="L40" s="2">
        <f t="shared" si="4"/>
        <v>6214.333333333333</v>
      </c>
      <c r="M40" s="2">
        <f t="shared" ref="M40" si="5">M41 - M39 - M38</f>
        <v>1044.6666666666663</v>
      </c>
      <c r="N40" s="2">
        <f t="shared" ref="N40" si="6">N41 - N39 - N38</f>
        <v>1867</v>
      </c>
      <c r="O40" s="2"/>
      <c r="P40" s="2"/>
      <c r="Q40" s="2"/>
    </row>
    <row r="41" spans="2:17" x14ac:dyDescent="0.25">
      <c r="B41" t="s">
        <v>23</v>
      </c>
      <c r="C41" s="2">
        <f>AVERAGE(Table38[Newtonsoft])</f>
        <v>14920.333333333334</v>
      </c>
      <c r="D41" s="2">
        <f>AVERAGE(Table38[Revenj])</f>
        <v>4959.333333333333</v>
      </c>
      <c r="E41" s="2">
        <f>AVERAGE(Table38[ProtoBuf (binary reference)])</f>
        <v>3062.3333333333335</v>
      </c>
      <c r="F41" s="2">
        <f>AVERAGE(Table38[Service Stack])</f>
        <v>13583</v>
      </c>
      <c r="G41" s="2">
        <f>AVERAGE(Table38[Jil])</f>
        <v>8505</v>
      </c>
      <c r="H41" s="2">
        <f>AVERAGE(Table38[NetJSON])</f>
        <v>6183</v>
      </c>
      <c r="I41" s="2">
        <f>AVERAGE(Table38[Jackson])</f>
        <v>2432.3333333333335</v>
      </c>
      <c r="J41" s="2">
        <f>AVERAGE(Table38[DSL-JSON])</f>
        <v>1350.6666666666667</v>
      </c>
      <c r="K41" s="2">
        <f>AVERAGE(Table38[Kryo (binary reference)])</f>
        <v>1332.6666666666667</v>
      </c>
      <c r="L41" s="2">
        <f>AVERAGE(Table38[Boon])</f>
        <v>9955.6666666666661</v>
      </c>
      <c r="M41" s="2">
        <f>AVERAGE(Table38[Alibaba])</f>
        <v>4225.333333333333</v>
      </c>
      <c r="N41" s="2">
        <f>AVERAGE(Table38[Gson])</f>
        <v>6112</v>
      </c>
      <c r="O41" s="2"/>
      <c r="P41" s="2"/>
      <c r="Q41" s="2"/>
    </row>
    <row r="42" spans="2:17" x14ac:dyDescent="0.25">
      <c r="B42" t="s">
        <v>4</v>
      </c>
      <c r="C42" s="3">
        <f>AVERAGE(Table36[Newtonsoft (size)])</f>
        <v>36448889</v>
      </c>
      <c r="D42" s="3">
        <f>AVERAGE(Table36[Revenj (size)])</f>
        <v>36444872</v>
      </c>
      <c r="E42" s="3">
        <f>AVERAGE(Table36[ProtoBuf (size)])</f>
        <v>16941514</v>
      </c>
      <c r="F42" s="3">
        <f>AVERAGE(Table36[Service Stack (size)])</f>
        <v>36444889</v>
      </c>
      <c r="G42" s="2">
        <f>AVERAGE(Table36[Jil (size)])</f>
        <v>36444889</v>
      </c>
      <c r="H42" s="2">
        <f>AVERAGE(Table36[NetJSON (size)])</f>
        <v>36444872</v>
      </c>
      <c r="I42" s="2">
        <f>AVERAGE(Table36[Jackson (size)])</f>
        <v>36448889</v>
      </c>
      <c r="J42" s="2">
        <f>AVERAGE(Table36[DSL-JSON (size)])</f>
        <v>36448868</v>
      </c>
      <c r="K42" s="2">
        <f>AVERAGE(Table36[Kryo (size)])</f>
        <v>33922404</v>
      </c>
      <c r="L42" s="2">
        <f>AVERAGE(Table36[Boon (size)])</f>
        <v>36448875</v>
      </c>
      <c r="M42" s="2">
        <f>AVERAGE(Table36[Alibaba (size)])</f>
        <v>36446889</v>
      </c>
      <c r="N42" s="2">
        <f>AVERAGE(Table36[Gson (size)])</f>
        <v>36448889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DEVSQ(Table36[Newtonsoft])</f>
        <v>22620.666666666664</v>
      </c>
      <c r="D47" s="2">
        <f>DEVSQ(Table36[Revenj])</f>
        <v>56112.666666666664</v>
      </c>
      <c r="E47" s="2">
        <f>DEVSQ(Table36[ProtoBuf (binary reference)])</f>
        <v>13904.666666666668</v>
      </c>
      <c r="F47" s="2">
        <f>DEVSQ(Table36[Service Stack])</f>
        <v>136220.66666666666</v>
      </c>
      <c r="G47" s="2">
        <f>DEVSQ(Table36[Jil])</f>
        <v>20618</v>
      </c>
      <c r="H47" s="2">
        <f>DEVSQ(Table36[NetJSON])</f>
        <v>63144.666666666664</v>
      </c>
      <c r="I47" s="2">
        <f>DEVSQ(Table36[Jackson])</f>
        <v>5188.666666666667</v>
      </c>
      <c r="J47" s="2">
        <f>DEVSQ(Table36[DSL-JSON])</f>
        <v>8.6666666666666679</v>
      </c>
      <c r="K47" s="2">
        <f>DEVSQ(Table36[Kryo (binary reference)])</f>
        <v>32.666666666666664</v>
      </c>
      <c r="L47" s="2">
        <f>DEVSQ(Table36[Boon])</f>
        <v>8900.6666666666661</v>
      </c>
      <c r="M47" s="2">
        <f>DEVSQ(Table36[Alibaba])</f>
        <v>3152.666666666667</v>
      </c>
      <c r="N47" s="2">
        <f>DEVSQ(Table36[Gson])</f>
        <v>344</v>
      </c>
      <c r="O47" s="2"/>
      <c r="P47" s="2"/>
      <c r="Q47" s="2"/>
    </row>
    <row r="48" spans="2:17" x14ac:dyDescent="0.25">
      <c r="B48" t="s">
        <v>23</v>
      </c>
      <c r="C48" s="2">
        <f>DEVSQ(Table38[Newtonsoft])</f>
        <v>34594.666666666672</v>
      </c>
      <c r="D48" s="2">
        <f>DEVSQ(Table38[Revenj])</f>
        <v>42242.666666666672</v>
      </c>
      <c r="E48" s="2">
        <f>DEVSQ(Table38[ProtoBuf (binary reference)])</f>
        <v>42314.666666666664</v>
      </c>
      <c r="F48" s="2">
        <f>DEVSQ(Table38[Service Stack])</f>
        <v>6054</v>
      </c>
      <c r="G48" s="2">
        <f>DEVSQ(Table38[Jil])</f>
        <v>23822</v>
      </c>
      <c r="H48" s="2">
        <f>DEVSQ(Table38[NetJSON])</f>
        <v>14294</v>
      </c>
      <c r="I48" s="2">
        <f>DEVSQ(Table38[Jackson])</f>
        <v>20924.666666666664</v>
      </c>
      <c r="J48" s="2">
        <f>DEVSQ(Table38[DSL-JSON])</f>
        <v>2784.666666666667</v>
      </c>
      <c r="K48" s="2">
        <f>DEVSQ(Table38[Kryo (binary reference)])</f>
        <v>11562.666666666666</v>
      </c>
      <c r="L48" s="2">
        <f>DEVSQ(Table38[Boon])</f>
        <v>61128.666666666664</v>
      </c>
      <c r="M48" s="2">
        <f>DEVSQ(Table38[Alibaba])</f>
        <v>1948.6666666666665</v>
      </c>
      <c r="N48" s="2">
        <f>DEVSQ(Table38[Gson])</f>
        <v>1784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670</v>
      </c>
      <c r="C52">
        <v>696</v>
      </c>
      <c r="D52">
        <v>666</v>
      </c>
      <c r="E52">
        <v>710</v>
      </c>
      <c r="F52">
        <v>732</v>
      </c>
      <c r="G52">
        <v>786</v>
      </c>
      <c r="H52">
        <v>365</v>
      </c>
      <c r="I52">
        <v>358</v>
      </c>
      <c r="J52">
        <v>361</v>
      </c>
      <c r="K52">
        <v>375</v>
      </c>
      <c r="L52">
        <v>368</v>
      </c>
      <c r="M52">
        <v>357</v>
      </c>
    </row>
    <row r="53" spans="2:25" x14ac:dyDescent="0.25">
      <c r="B53">
        <v>668</v>
      </c>
      <c r="C53">
        <v>731</v>
      </c>
      <c r="D53">
        <v>756</v>
      </c>
      <c r="E53">
        <v>755</v>
      </c>
      <c r="F53">
        <v>691</v>
      </c>
      <c r="G53">
        <v>702</v>
      </c>
      <c r="H53">
        <v>359</v>
      </c>
      <c r="I53">
        <v>359</v>
      </c>
      <c r="J53">
        <v>365</v>
      </c>
      <c r="K53">
        <v>376</v>
      </c>
      <c r="L53">
        <v>364</v>
      </c>
      <c r="M53">
        <v>356</v>
      </c>
    </row>
    <row r="54" spans="2:25" x14ac:dyDescent="0.25">
      <c r="B54">
        <v>763</v>
      </c>
      <c r="C54">
        <v>702</v>
      </c>
      <c r="D54">
        <v>714</v>
      </c>
      <c r="E54">
        <v>842</v>
      </c>
      <c r="F54">
        <v>765</v>
      </c>
      <c r="G54">
        <v>787</v>
      </c>
      <c r="H54">
        <v>349</v>
      </c>
      <c r="I54">
        <v>368</v>
      </c>
      <c r="J54">
        <v>360</v>
      </c>
      <c r="K54">
        <v>360</v>
      </c>
      <c r="L54">
        <v>368</v>
      </c>
      <c r="M54">
        <v>364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6322</v>
      </c>
      <c r="C58">
        <v>2904</v>
      </c>
      <c r="D58">
        <v>1772</v>
      </c>
      <c r="E58">
        <v>4085</v>
      </c>
      <c r="F58">
        <v>5848</v>
      </c>
      <c r="G58">
        <v>3070</v>
      </c>
      <c r="H58">
        <v>1269</v>
      </c>
      <c r="I58">
        <v>820</v>
      </c>
      <c r="J58">
        <v>777</v>
      </c>
      <c r="K58">
        <v>3685</v>
      </c>
      <c r="L58">
        <v>3200</v>
      </c>
      <c r="M58">
        <v>4243</v>
      </c>
      <c r="N58">
        <v>36448889</v>
      </c>
      <c r="O58">
        <v>36444872</v>
      </c>
      <c r="P58">
        <v>16941514</v>
      </c>
      <c r="Q58">
        <v>36444889</v>
      </c>
      <c r="R58">
        <v>36444889</v>
      </c>
      <c r="S58">
        <v>36444872</v>
      </c>
      <c r="T58">
        <v>36448889</v>
      </c>
      <c r="U58">
        <v>36448868</v>
      </c>
      <c r="V58">
        <v>33922404</v>
      </c>
      <c r="W58">
        <v>36448875</v>
      </c>
      <c r="X58">
        <v>36446889</v>
      </c>
      <c r="Y58">
        <v>36448889</v>
      </c>
    </row>
    <row r="59" spans="2:25" x14ac:dyDescent="0.25">
      <c r="B59">
        <v>6501</v>
      </c>
      <c r="C59">
        <v>2576</v>
      </c>
      <c r="D59">
        <v>1721</v>
      </c>
      <c r="E59">
        <v>4091</v>
      </c>
      <c r="F59">
        <v>5835</v>
      </c>
      <c r="G59">
        <v>2727</v>
      </c>
      <c r="H59">
        <v>1188</v>
      </c>
      <c r="I59">
        <v>819</v>
      </c>
      <c r="J59">
        <v>769</v>
      </c>
      <c r="K59">
        <v>3815</v>
      </c>
      <c r="L59">
        <v>3135</v>
      </c>
      <c r="M59">
        <v>4233</v>
      </c>
      <c r="N59">
        <v>36448889</v>
      </c>
      <c r="O59">
        <v>36444872</v>
      </c>
      <c r="P59">
        <v>16941514</v>
      </c>
      <c r="Q59">
        <v>36444889</v>
      </c>
      <c r="R59">
        <v>36444889</v>
      </c>
      <c r="S59">
        <v>36444872</v>
      </c>
      <c r="T59">
        <v>36448889</v>
      </c>
      <c r="U59">
        <v>36448868</v>
      </c>
      <c r="V59">
        <v>33922404</v>
      </c>
      <c r="W59">
        <v>36448875</v>
      </c>
      <c r="X59">
        <v>36446889</v>
      </c>
      <c r="Y59">
        <v>36448889</v>
      </c>
    </row>
    <row r="60" spans="2:25" x14ac:dyDescent="0.25">
      <c r="B60">
        <v>6312</v>
      </c>
      <c r="C60">
        <v>2799</v>
      </c>
      <c r="D60">
        <v>1609</v>
      </c>
      <c r="E60">
        <v>4540</v>
      </c>
      <c r="F60">
        <v>5666</v>
      </c>
      <c r="G60">
        <v>2818</v>
      </c>
      <c r="H60">
        <v>1175</v>
      </c>
      <c r="I60">
        <v>816</v>
      </c>
      <c r="J60">
        <v>774</v>
      </c>
      <c r="K60">
        <v>3724</v>
      </c>
      <c r="L60">
        <v>3207</v>
      </c>
      <c r="M60">
        <v>4259</v>
      </c>
      <c r="N60">
        <v>36448889</v>
      </c>
      <c r="O60">
        <v>36444872</v>
      </c>
      <c r="P60">
        <v>16941514</v>
      </c>
      <c r="Q60">
        <v>36444889</v>
      </c>
      <c r="R60">
        <v>36444889</v>
      </c>
      <c r="S60">
        <v>36444872</v>
      </c>
      <c r="T60">
        <v>36448889</v>
      </c>
      <c r="U60">
        <v>36448868</v>
      </c>
      <c r="V60">
        <v>33922404</v>
      </c>
      <c r="W60">
        <v>36448875</v>
      </c>
      <c r="X60">
        <v>36446889</v>
      </c>
      <c r="Y60">
        <v>36448889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15007</v>
      </c>
      <c r="C64">
        <v>5000</v>
      </c>
      <c r="D64">
        <v>3229</v>
      </c>
      <c r="E64">
        <v>13626</v>
      </c>
      <c r="F64">
        <v>8384</v>
      </c>
      <c r="G64">
        <v>6266</v>
      </c>
      <c r="H64">
        <v>2524</v>
      </c>
      <c r="I64">
        <v>1381</v>
      </c>
      <c r="J64">
        <v>1410</v>
      </c>
      <c r="K64">
        <v>10090</v>
      </c>
      <c r="L64">
        <v>4203</v>
      </c>
      <c r="M64">
        <v>6090</v>
      </c>
    </row>
    <row r="65" spans="2:13" x14ac:dyDescent="0.25">
      <c r="B65">
        <v>14985</v>
      </c>
      <c r="C65">
        <v>5080</v>
      </c>
      <c r="D65">
        <v>2997</v>
      </c>
      <c r="E65">
        <v>13602</v>
      </c>
      <c r="F65">
        <v>8535</v>
      </c>
      <c r="G65">
        <v>6097</v>
      </c>
      <c r="H65">
        <v>2322</v>
      </c>
      <c r="I65">
        <v>1362</v>
      </c>
      <c r="J65">
        <v>1330</v>
      </c>
      <c r="K65">
        <v>10019</v>
      </c>
      <c r="L65">
        <v>4261</v>
      </c>
      <c r="M65">
        <v>6146</v>
      </c>
    </row>
    <row r="66" spans="2:13" x14ac:dyDescent="0.25">
      <c r="B66">
        <v>14769</v>
      </c>
      <c r="C66">
        <v>4798</v>
      </c>
      <c r="D66">
        <v>2961</v>
      </c>
      <c r="E66">
        <v>13521</v>
      </c>
      <c r="F66">
        <v>8596</v>
      </c>
      <c r="G66">
        <v>6186</v>
      </c>
      <c r="H66">
        <v>2451</v>
      </c>
      <c r="I66">
        <v>1309</v>
      </c>
      <c r="J66">
        <v>1258</v>
      </c>
      <c r="K66">
        <v>9758</v>
      </c>
      <c r="L66">
        <v>4212</v>
      </c>
      <c r="M66">
        <v>6100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42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AVERAGE(Table42[Newtonsoft])</f>
        <v>6812</v>
      </c>
      <c r="D38" s="2">
        <f>AVERAGE(Table42[Revenj])</f>
        <v>7286.666666666667</v>
      </c>
      <c r="E38" s="2">
        <f>AVERAGE(Table42[ProtoBuf (binary reference)])</f>
        <v>7285</v>
      </c>
      <c r="F38" s="2">
        <f>AVERAGE(Table42[Service Stack])</f>
        <v>6703.333333333333</v>
      </c>
      <c r="G38" s="2">
        <f>AVERAGE(Table42[Jil])</f>
        <v>7062.666666666667</v>
      </c>
      <c r="H38" s="2">
        <f>AVERAGE(Table42[NetJSON])</f>
        <v>7812</v>
      </c>
      <c r="I38" s="2">
        <f>AVERAGE(Table42[Jackson])</f>
        <v>3501</v>
      </c>
      <c r="J38" s="2">
        <f>AVERAGE(Table42[DSL-JSON])</f>
        <v>3504</v>
      </c>
      <c r="K38" s="2">
        <f>AVERAGE(Table42[Kryo (binary reference)])</f>
        <v>3517.6666666666665</v>
      </c>
      <c r="L38" s="2">
        <f>AVERAGE(Table42[Boon])</f>
        <v>3477.3333333333335</v>
      </c>
      <c r="M38" s="2">
        <f>AVERAGE(Table42[Alibaba])</f>
        <v>3475</v>
      </c>
      <c r="N38" s="2">
        <f>AVERAGE(Table42[Gson])</f>
        <v>3490.6666666666665</v>
      </c>
      <c r="O38" s="2"/>
      <c r="P38" s="2"/>
      <c r="Q38" s="2"/>
    </row>
    <row r="39" spans="2:17" x14ac:dyDescent="0.25">
      <c r="B39" t="s">
        <v>0</v>
      </c>
      <c r="C39" s="2">
        <f>AVERAGE(Table41[Newtonsoft]) - C38</f>
        <v>57888</v>
      </c>
      <c r="D39" s="2">
        <f>AVERAGE(Table41[Revenj]) - D38</f>
        <v>19937.666666666664</v>
      </c>
      <c r="E39" s="2">
        <f>AVERAGE(Table41[ProtoBuf (binary reference)]) - E38</f>
        <v>9460</v>
      </c>
      <c r="F39" s="2">
        <f>AVERAGE(Table41[Service Stack]) - F38</f>
        <v>35444.333333333328</v>
      </c>
      <c r="G39" s="2">
        <f>AVERAGE(Table41[Jil]) - G38</f>
        <v>49913</v>
      </c>
      <c r="H39" s="2">
        <f>AVERAGE(Table41[NetJSON]) - H38</f>
        <v>21867</v>
      </c>
      <c r="I39" s="2">
        <f>AVERAGE(Table41[Jackson]) - I38</f>
        <v>7444.6666666666661</v>
      </c>
      <c r="J39" s="2">
        <f>AVERAGE(Table41[DSL-JSON]) - J38</f>
        <v>4189</v>
      </c>
      <c r="K39" s="2">
        <f>AVERAGE(Table41[Kryo (binary reference)]) - K38</f>
        <v>3358.6666666666665</v>
      </c>
      <c r="L39" s="2">
        <f>AVERAGE(Table41[Boon]) - L38</f>
        <v>33962.333333333328</v>
      </c>
      <c r="M39" s="2">
        <f>AVERAGE(Table41[Alibaba]) - M38</f>
        <v>27797.333333333332</v>
      </c>
      <c r="N39" s="2">
        <f>AVERAGE(Table41[Gson]) - N38</f>
        <v>39754.666666666672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85118.333333333343</v>
      </c>
      <c r="D40" s="2">
        <f t="shared" si="0"/>
        <v>23544.666666666668</v>
      </c>
      <c r="E40" s="2">
        <f t="shared" ref="E40" si="1">E41 - E39 - E38</f>
        <v>16159.333333333336</v>
      </c>
      <c r="F40" s="2">
        <f t="shared" si="0"/>
        <v>95959.333333333343</v>
      </c>
      <c r="G40" s="2">
        <f t="shared" si="0"/>
        <v>29553.666666666661</v>
      </c>
      <c r="H40" s="2">
        <f t="shared" si="0"/>
        <v>31728</v>
      </c>
      <c r="I40" s="2">
        <f t="shared" ref="I40" si="2">I41 - I39 - I38</f>
        <v>11985.666666666666</v>
      </c>
      <c r="J40" s="2">
        <f t="shared" ref="J40" si="3">J41 - J39 - J38</f>
        <v>3882.3333333333339</v>
      </c>
      <c r="K40" s="2">
        <f t="shared" ref="K40:L40" si="4">K41 - K39 - K38</f>
        <v>5439.6666666666679</v>
      </c>
      <c r="L40" s="2">
        <f t="shared" si="4"/>
        <v>61888.666666666664</v>
      </c>
      <c r="M40" s="2">
        <f t="shared" ref="M40" si="5">M41 - M39 - M38</f>
        <v>10294.666666666668</v>
      </c>
      <c r="N40" s="2">
        <f t="shared" ref="N40" si="6">N41 - N39 - N38</f>
        <v>17868.999999999996</v>
      </c>
      <c r="O40" s="2"/>
      <c r="P40" s="2"/>
      <c r="Q40" s="2"/>
    </row>
    <row r="41" spans="2:17" x14ac:dyDescent="0.25">
      <c r="B41" t="s">
        <v>23</v>
      </c>
      <c r="C41" s="2">
        <f>AVERAGE(Table43[Newtonsoft])</f>
        <v>149818.33333333334</v>
      </c>
      <c r="D41" s="2">
        <f>AVERAGE(Table43[Revenj])</f>
        <v>50769</v>
      </c>
      <c r="E41" s="2">
        <f>AVERAGE(Table43[ProtoBuf (binary reference)])</f>
        <v>32904.333333333336</v>
      </c>
      <c r="F41" s="2">
        <f>AVERAGE(Table43[Service Stack])</f>
        <v>138107</v>
      </c>
      <c r="G41" s="2">
        <f>AVERAGE(Table43[Jil])</f>
        <v>86529.333333333328</v>
      </c>
      <c r="H41" s="2">
        <f>AVERAGE(Table43[NetJSON])</f>
        <v>61407</v>
      </c>
      <c r="I41" s="2">
        <f>AVERAGE(Table43[Jackson])</f>
        <v>22931.333333333332</v>
      </c>
      <c r="J41" s="2">
        <f>AVERAGE(Table43[DSL-JSON])</f>
        <v>11575.333333333334</v>
      </c>
      <c r="K41" s="2">
        <f>AVERAGE(Table43[Kryo (binary reference)])</f>
        <v>12316</v>
      </c>
      <c r="L41" s="2">
        <f>AVERAGE(Table43[Boon])</f>
        <v>99328.333333333328</v>
      </c>
      <c r="M41" s="2">
        <f>AVERAGE(Table43[Alibaba])</f>
        <v>41567</v>
      </c>
      <c r="N41" s="2">
        <f>AVERAGE(Table43[Gson])</f>
        <v>61114.333333333336</v>
      </c>
      <c r="O41" s="2"/>
      <c r="P41" s="2"/>
      <c r="Q41" s="2"/>
    </row>
    <row r="42" spans="2:17" x14ac:dyDescent="0.25">
      <c r="B42" t="s">
        <v>4</v>
      </c>
      <c r="C42" s="3">
        <f>AVERAGE(Table41[Newtonsoft (size)])</f>
        <v>394468889</v>
      </c>
      <c r="D42" s="3">
        <f>AVERAGE(Table41[Revenj (size)])</f>
        <v>394428872</v>
      </c>
      <c r="E42" s="3">
        <f>AVERAGE(Table41[ProtoBuf (size)])</f>
        <v>184924181</v>
      </c>
      <c r="F42" s="3">
        <f>AVERAGE(Table41[Service Stack (size)])</f>
        <v>394428889</v>
      </c>
      <c r="G42" s="2">
        <f>AVERAGE(Table41[Jil (size)])</f>
        <v>394428889</v>
      </c>
      <c r="H42" s="2">
        <f>AVERAGE(Table41[NetJSON (size)])</f>
        <v>394428872</v>
      </c>
      <c r="I42" s="2">
        <f>AVERAGE(Table41[Jackson (size)])</f>
        <v>394468889</v>
      </c>
      <c r="J42" s="2">
        <f>AVERAGE(Table41[DSL-JSON (size)])</f>
        <v>394468868</v>
      </c>
      <c r="K42" s="2">
        <f>AVERAGE(Table41[Kryo (size)])</f>
        <v>350301313</v>
      </c>
      <c r="L42" s="2">
        <f>AVERAGE(Table41[Boon (size)])</f>
        <v>394468875</v>
      </c>
      <c r="M42" s="2">
        <f>AVERAGE(Table41[Alibaba (size)])</f>
        <v>394448889</v>
      </c>
      <c r="N42" s="2">
        <f>AVERAGE(Table41[Gson (size)])</f>
        <v>394468889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DEVSQ(Table41[Newtonsoft])</f>
        <v>5982752</v>
      </c>
      <c r="D47" s="2">
        <f>DEVSQ(Table41[Revenj])</f>
        <v>1230560.6666666667</v>
      </c>
      <c r="E47" s="2">
        <f>DEVSQ(Table41[ProtoBuf (binary reference)])</f>
        <v>175434</v>
      </c>
      <c r="F47" s="2">
        <f>DEVSQ(Table41[Service Stack])</f>
        <v>2244352.666666667</v>
      </c>
      <c r="G47" s="2">
        <f>DEVSQ(Table41[Jil])</f>
        <v>1291394.6666666667</v>
      </c>
      <c r="H47" s="2">
        <f>DEVSQ(Table41[NetJSON])</f>
        <v>9874802</v>
      </c>
      <c r="I47" s="2">
        <f>DEVSQ(Table41[Jackson])</f>
        <v>153602.66666666666</v>
      </c>
      <c r="J47" s="2">
        <f>DEVSQ(Table41[DSL-JSON])</f>
        <v>4758</v>
      </c>
      <c r="K47" s="2">
        <f>DEVSQ(Table41[Kryo (binary reference)])</f>
        <v>17888.666666666668</v>
      </c>
      <c r="L47" s="2">
        <f>DEVSQ(Table41[Boon])</f>
        <v>671660.66666666674</v>
      </c>
      <c r="M47" s="2">
        <f>DEVSQ(Table41[Alibaba])</f>
        <v>313592.66666666669</v>
      </c>
      <c r="N47" s="2">
        <f>DEVSQ(Table41[Gson])</f>
        <v>2036482.6666666667</v>
      </c>
      <c r="O47" s="2"/>
      <c r="P47" s="2"/>
      <c r="Q47" s="2"/>
    </row>
    <row r="48" spans="2:17" x14ac:dyDescent="0.25">
      <c r="B48" t="s">
        <v>23</v>
      </c>
      <c r="C48" s="2">
        <f>DEVSQ(Table43[Newtonsoft])</f>
        <v>8660612.6666666679</v>
      </c>
      <c r="D48" s="2">
        <f>DEVSQ(Table43[Revenj])</f>
        <v>1062254</v>
      </c>
      <c r="E48" s="2">
        <f>DEVSQ(Table43[ProtoBuf (binary reference)])</f>
        <v>14136364.666666668</v>
      </c>
      <c r="F48" s="2">
        <f>DEVSQ(Table43[Service Stack])</f>
        <v>9496346</v>
      </c>
      <c r="G48" s="2">
        <f>DEVSQ(Table43[Jil])</f>
        <v>4479840.666666667</v>
      </c>
      <c r="H48" s="2">
        <f>DEVSQ(Table43[NetJSON])</f>
        <v>4273442</v>
      </c>
      <c r="I48" s="2">
        <f>DEVSQ(Table43[Jackson])</f>
        <v>1521192.6666666667</v>
      </c>
      <c r="J48" s="2">
        <f>DEVSQ(Table43[DSL-JSON])</f>
        <v>92968.666666666672</v>
      </c>
      <c r="K48" s="2">
        <f>DEVSQ(Table43[Kryo (binary reference)])</f>
        <v>345734</v>
      </c>
      <c r="L48" s="2">
        <f>DEVSQ(Table43[Boon])</f>
        <v>1599632.6666666667</v>
      </c>
      <c r="M48" s="2">
        <f>DEVSQ(Table43[Alibaba])</f>
        <v>9585698</v>
      </c>
      <c r="N48" s="2">
        <f>DEVSQ(Table43[Gson])</f>
        <v>4396524.666666667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7032</v>
      </c>
      <c r="C52">
        <v>7544</v>
      </c>
      <c r="D52">
        <v>7854</v>
      </c>
      <c r="E52">
        <v>6527</v>
      </c>
      <c r="F52">
        <v>7335</v>
      </c>
      <c r="G52">
        <v>8580</v>
      </c>
      <c r="H52">
        <v>3471</v>
      </c>
      <c r="I52">
        <v>3512</v>
      </c>
      <c r="J52">
        <v>3542</v>
      </c>
      <c r="K52">
        <v>3463</v>
      </c>
      <c r="L52">
        <v>3461</v>
      </c>
      <c r="M52">
        <v>3522</v>
      </c>
    </row>
    <row r="53" spans="2:25" x14ac:dyDescent="0.25">
      <c r="B53">
        <v>6937</v>
      </c>
      <c r="C53">
        <v>7298</v>
      </c>
      <c r="D53">
        <v>7581</v>
      </c>
      <c r="E53">
        <v>6949</v>
      </c>
      <c r="F53">
        <v>6873</v>
      </c>
      <c r="G53">
        <v>7480</v>
      </c>
      <c r="H53">
        <v>3543</v>
      </c>
      <c r="I53">
        <v>3528</v>
      </c>
      <c r="J53">
        <v>3533</v>
      </c>
      <c r="K53">
        <v>3510</v>
      </c>
      <c r="L53">
        <v>3507</v>
      </c>
      <c r="M53">
        <v>3500</v>
      </c>
    </row>
    <row r="54" spans="2:25" x14ac:dyDescent="0.25">
      <c r="B54">
        <v>6467</v>
      </c>
      <c r="C54">
        <v>7018</v>
      </c>
      <c r="D54">
        <v>6420</v>
      </c>
      <c r="E54">
        <v>6634</v>
      </c>
      <c r="F54">
        <v>6980</v>
      </c>
      <c r="G54">
        <v>7376</v>
      </c>
      <c r="H54">
        <v>3489</v>
      </c>
      <c r="I54">
        <v>3472</v>
      </c>
      <c r="J54">
        <v>3478</v>
      </c>
      <c r="K54">
        <v>3459</v>
      </c>
      <c r="L54">
        <v>3457</v>
      </c>
      <c r="M54">
        <v>3450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64540</v>
      </c>
      <c r="C58">
        <v>27480</v>
      </c>
      <c r="D58">
        <v>16722</v>
      </c>
      <c r="E58">
        <v>43363</v>
      </c>
      <c r="F58">
        <v>57887</v>
      </c>
      <c r="G58">
        <v>30384</v>
      </c>
      <c r="H58">
        <v>11161</v>
      </c>
      <c r="I58">
        <v>7655</v>
      </c>
      <c r="J58">
        <v>6872</v>
      </c>
      <c r="K58">
        <v>38045</v>
      </c>
      <c r="L58">
        <v>31718</v>
      </c>
      <c r="M58">
        <v>43350</v>
      </c>
      <c r="N58">
        <v>394468889</v>
      </c>
      <c r="O58">
        <v>394428872</v>
      </c>
      <c r="P58">
        <v>184924181</v>
      </c>
      <c r="Q58">
        <v>394428889</v>
      </c>
      <c r="R58">
        <v>394428889</v>
      </c>
      <c r="S58">
        <v>394428872</v>
      </c>
      <c r="T58">
        <v>394468889</v>
      </c>
      <c r="U58">
        <v>394468868</v>
      </c>
      <c r="V58">
        <v>350301313</v>
      </c>
      <c r="W58">
        <v>394468875</v>
      </c>
      <c r="X58">
        <v>394448889</v>
      </c>
      <c r="Y58">
        <v>394468889</v>
      </c>
    </row>
    <row r="59" spans="2:25" x14ac:dyDescent="0.25">
      <c r="B59">
        <v>63056</v>
      </c>
      <c r="C59">
        <v>26344</v>
      </c>
      <c r="D59">
        <v>17052</v>
      </c>
      <c r="E59">
        <v>41420</v>
      </c>
      <c r="F59">
        <v>56671</v>
      </c>
      <c r="G59">
        <v>31463</v>
      </c>
      <c r="H59">
        <v>10633</v>
      </c>
      <c r="I59">
        <v>7676</v>
      </c>
      <c r="J59">
        <v>6784</v>
      </c>
      <c r="K59">
        <v>37384</v>
      </c>
      <c r="L59">
        <v>31138</v>
      </c>
      <c r="M59">
        <v>44198</v>
      </c>
      <c r="N59">
        <v>394468889</v>
      </c>
      <c r="O59">
        <v>394428872</v>
      </c>
      <c r="P59">
        <v>184924181</v>
      </c>
      <c r="Q59">
        <v>394428889</v>
      </c>
      <c r="R59">
        <v>394428889</v>
      </c>
      <c r="S59">
        <v>394428872</v>
      </c>
      <c r="T59">
        <v>394468889</v>
      </c>
      <c r="U59">
        <v>394468868</v>
      </c>
      <c r="V59">
        <v>350301313</v>
      </c>
      <c r="W59">
        <v>394468875</v>
      </c>
      <c r="X59">
        <v>394448889</v>
      </c>
      <c r="Y59">
        <v>394468889</v>
      </c>
    </row>
    <row r="60" spans="2:25" x14ac:dyDescent="0.25">
      <c r="B60">
        <v>66504</v>
      </c>
      <c r="C60">
        <v>27849</v>
      </c>
      <c r="D60">
        <v>16461</v>
      </c>
      <c r="E60">
        <v>41660</v>
      </c>
      <c r="F60">
        <v>56369</v>
      </c>
      <c r="G60">
        <v>27190</v>
      </c>
      <c r="H60">
        <v>11043</v>
      </c>
      <c r="I60">
        <v>7748</v>
      </c>
      <c r="J60">
        <v>6973</v>
      </c>
      <c r="K60">
        <v>36890</v>
      </c>
      <c r="L60">
        <v>30961</v>
      </c>
      <c r="M60">
        <v>42188</v>
      </c>
      <c r="N60">
        <v>394468889</v>
      </c>
      <c r="O60">
        <v>394428872</v>
      </c>
      <c r="P60">
        <v>184924181</v>
      </c>
      <c r="Q60">
        <v>394428889</v>
      </c>
      <c r="R60">
        <v>394428889</v>
      </c>
      <c r="S60">
        <v>394428872</v>
      </c>
      <c r="T60">
        <v>394468889</v>
      </c>
      <c r="U60">
        <v>394468868</v>
      </c>
      <c r="V60">
        <v>350301313</v>
      </c>
      <c r="W60">
        <v>394468875</v>
      </c>
      <c r="X60">
        <v>394448889</v>
      </c>
      <c r="Y60">
        <v>394468889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148377</v>
      </c>
      <c r="C64">
        <v>50275</v>
      </c>
      <c r="D64">
        <v>29978</v>
      </c>
      <c r="E64">
        <v>140528</v>
      </c>
      <c r="F64">
        <v>85117</v>
      </c>
      <c r="G64">
        <v>61543</v>
      </c>
      <c r="H64">
        <v>23576</v>
      </c>
      <c r="I64">
        <v>11356</v>
      </c>
      <c r="J64">
        <v>12449</v>
      </c>
      <c r="K64">
        <v>100349</v>
      </c>
      <c r="L64">
        <v>44092</v>
      </c>
      <c r="M64">
        <v>59893</v>
      </c>
    </row>
    <row r="65" spans="2:13" x14ac:dyDescent="0.25">
      <c r="B65">
        <v>152204</v>
      </c>
      <c r="C65">
        <v>50426</v>
      </c>
      <c r="D65">
        <v>33564</v>
      </c>
      <c r="E65">
        <v>136303</v>
      </c>
      <c r="F65">
        <v>86373</v>
      </c>
      <c r="G65">
        <v>59882</v>
      </c>
      <c r="H65">
        <v>23279</v>
      </c>
      <c r="I65">
        <v>11787</v>
      </c>
      <c r="J65">
        <v>11850</v>
      </c>
      <c r="K65">
        <v>98682</v>
      </c>
      <c r="L65">
        <v>40410</v>
      </c>
      <c r="M65">
        <v>62764</v>
      </c>
    </row>
    <row r="66" spans="2:13" x14ac:dyDescent="0.25">
      <c r="B66">
        <v>148874</v>
      </c>
      <c r="C66">
        <v>51606</v>
      </c>
      <c r="D66">
        <v>35171</v>
      </c>
      <c r="E66">
        <v>137490</v>
      </c>
      <c r="F66">
        <v>88098</v>
      </c>
      <c r="G66">
        <v>62796</v>
      </c>
      <c r="H66">
        <v>21939</v>
      </c>
      <c r="I66">
        <v>11583</v>
      </c>
      <c r="J66">
        <v>12649</v>
      </c>
      <c r="K66">
        <v>98954</v>
      </c>
      <c r="L66">
        <v>40199</v>
      </c>
      <c r="M66">
        <v>60686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43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AVERAGE(Table47[Newtonsoft])</f>
        <v>350.66666666666669</v>
      </c>
      <c r="D38" s="2">
        <f>AVERAGE(Table47[Revenj])</f>
        <v>362</v>
      </c>
      <c r="E38" s="2">
        <f>AVERAGE(Table47[ProtoBuf (binary reference)])</f>
        <v>359</v>
      </c>
      <c r="F38" s="2">
        <f>AVERAGE(Table47[Service Stack])</f>
        <v>360.66666666666669</v>
      </c>
      <c r="G38" s="2">
        <f>AVERAGE(Table47[Jil])</f>
        <v>360.33333333333331</v>
      </c>
      <c r="H38" s="2">
        <f>AVERAGE(Table47[NetJSON])</f>
        <v>364</v>
      </c>
      <c r="I38" s="2">
        <f>AVERAGE(Table47[Jackson])</f>
        <v>356.66666666666669</v>
      </c>
      <c r="J38" s="2">
        <f>AVERAGE(Table47[DSL-JSON])</f>
        <v>359.33333333333331</v>
      </c>
      <c r="K38" s="2">
        <f>AVERAGE(Table47[Kryo (binary reference)])</f>
        <v>366.66666666666669</v>
      </c>
      <c r="L38" s="2">
        <f>AVERAGE(Table47[Boon])</f>
        <v>369</v>
      </c>
      <c r="M38" s="2">
        <f>AVERAGE(Table47[Alibaba])</f>
        <v>362.66666666666669</v>
      </c>
      <c r="N38" s="2">
        <f>AVERAGE(Table47[Gson])</f>
        <v>361</v>
      </c>
      <c r="O38" s="2"/>
      <c r="P38" s="2"/>
      <c r="Q38" s="2"/>
    </row>
    <row r="39" spans="2:17" x14ac:dyDescent="0.25">
      <c r="B39" t="s">
        <v>0</v>
      </c>
      <c r="C39" s="2">
        <f>AVERAGE(Table46[Newtonsoft]) - C38</f>
        <v>578.33333333333326</v>
      </c>
      <c r="D39" s="2">
        <f>AVERAGE(Table46[Revenj]) - D38</f>
        <v>210</v>
      </c>
      <c r="E39" s="2">
        <f>AVERAGE(Table46[ProtoBuf (binary reference)]) - E38</f>
        <v>191</v>
      </c>
      <c r="F39" s="2">
        <f>AVERAGE(Table46[Service Stack]) - F38</f>
        <v>434.99999999999994</v>
      </c>
      <c r="G39" s="2">
        <f>AVERAGE(Table46[Jil]) - G38</f>
        <v>715</v>
      </c>
      <c r="H39" s="2">
        <f>AVERAGE(Table46[NetJSON]) - H38</f>
        <v>454.33333333333337</v>
      </c>
      <c r="I39" s="2">
        <f>AVERAGE(Table46[Jackson]) - I38</f>
        <v>239.33333333333331</v>
      </c>
      <c r="J39" s="2">
        <f>AVERAGE(Table46[DSL-JSON]) - J38</f>
        <v>119.66666666666669</v>
      </c>
      <c r="K39" s="2">
        <f>AVERAGE(Table46[Kryo (binary reference)]) - K38</f>
        <v>108</v>
      </c>
      <c r="L39" s="2">
        <f>AVERAGE(Table46[Boon]) - L38</f>
        <v>630.66666666666663</v>
      </c>
      <c r="M39" s="5">
        <f>AVERAGE(Table46[Alibaba]) - J38</f>
        <v>722.33333333333348</v>
      </c>
      <c r="N39" s="2">
        <f>AVERAGE(Table46[Gson]) - N38</f>
        <v>822.66666666666674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1197.3333333333335</v>
      </c>
      <c r="D40" s="2">
        <f t="shared" si="0"/>
        <v>367.33333333333337</v>
      </c>
      <c r="E40" s="2">
        <f t="shared" ref="E40" si="1">E41 - E39 - E38</f>
        <v>326.33333333333337</v>
      </c>
      <c r="F40" s="2">
        <f t="shared" si="0"/>
        <v>1907.3333333333333</v>
      </c>
      <c r="G40" s="2">
        <f t="shared" si="0"/>
        <v>520.66666666666674</v>
      </c>
      <c r="H40" s="2">
        <f t="shared" si="0"/>
        <v>1248.333333333333</v>
      </c>
      <c r="I40" s="2">
        <f t="shared" ref="I40" si="2">I41 - I39 - I38</f>
        <v>421.66666666666657</v>
      </c>
      <c r="J40" s="2">
        <f t="shared" ref="J40" si="3">J41 - J39 - J38</f>
        <v>82</v>
      </c>
      <c r="K40" s="2">
        <f t="shared" ref="K40:L40" si="4">K41 - K39 - K38</f>
        <v>75.999999999999943</v>
      </c>
      <c r="L40" s="2" t="e">
        <f t="shared" si="4"/>
        <v>#DIV/0!</v>
      </c>
      <c r="M40" s="2">
        <f t="shared" ref="M40" si="5">M41 - M39 - M38</f>
        <v>515.99999999999977</v>
      </c>
      <c r="N40" s="2">
        <f t="shared" ref="N40" si="6">N41 - N39 - N38</f>
        <v>943.33333333333326</v>
      </c>
      <c r="O40" s="2"/>
      <c r="P40" s="2"/>
      <c r="Q40" s="2"/>
    </row>
    <row r="41" spans="2:17" x14ac:dyDescent="0.25">
      <c r="B41" t="s">
        <v>23</v>
      </c>
      <c r="C41" s="2">
        <f>AVERAGE(Table48[Newtonsoft])</f>
        <v>2126.3333333333335</v>
      </c>
      <c r="D41" s="2">
        <f>AVERAGE(Table48[Revenj])</f>
        <v>939.33333333333337</v>
      </c>
      <c r="E41" s="2">
        <f>AVERAGE(Table48[ProtoBuf (binary reference)])</f>
        <v>876.33333333333337</v>
      </c>
      <c r="F41" s="2">
        <f>AVERAGE(Table48[Service Stack])</f>
        <v>2703</v>
      </c>
      <c r="G41" s="2">
        <f>AVERAGE(Table48[Jil])</f>
        <v>1596</v>
      </c>
      <c r="H41" s="2">
        <f>AVERAGE(Table48[NetJSON])</f>
        <v>2066.6666666666665</v>
      </c>
      <c r="I41" s="2">
        <f>AVERAGE(Table48[Jackson])</f>
        <v>1017.6666666666666</v>
      </c>
      <c r="J41" s="2">
        <f>AVERAGE(Table48[DSL-JSON])</f>
        <v>561</v>
      </c>
      <c r="K41" s="2">
        <f>AVERAGE(Table48[Kryo (binary reference)])</f>
        <v>550.66666666666663</v>
      </c>
      <c r="L41" s="2" t="e">
        <f>AVERAGE(Table48[Boon])</f>
        <v>#DIV/0!</v>
      </c>
      <c r="M41" s="5">
        <f>AVERAGE(Table48[Alibaba])</f>
        <v>1601</v>
      </c>
      <c r="N41" s="2">
        <f>AVERAGE(Table48[Gson])</f>
        <v>2127</v>
      </c>
      <c r="O41" s="2"/>
      <c r="P41" s="2"/>
      <c r="Q41" s="2"/>
    </row>
    <row r="42" spans="2:17" x14ac:dyDescent="0.25">
      <c r="B42" t="s">
        <v>4</v>
      </c>
      <c r="C42" s="3">
        <f>AVERAGE(Table46[Newtonsoft (size)])</f>
        <v>11938890</v>
      </c>
      <c r="D42" s="3">
        <f>AVERAGE(Table46[Revenj (size)])</f>
        <v>10188890</v>
      </c>
      <c r="E42" s="3">
        <f>AVERAGE(Table46[ProtoBuf (size)])</f>
        <v>4488890</v>
      </c>
      <c r="F42" s="3">
        <f>AVERAGE(Table46[Service Stack (size)])</f>
        <v>11838890</v>
      </c>
      <c r="G42" s="2">
        <f>AVERAGE(Table46[Jil (size)])</f>
        <v>11938890</v>
      </c>
      <c r="H42" s="2">
        <f>AVERAGE(Table46[NetJSON (size)])</f>
        <v>11288890</v>
      </c>
      <c r="I42" s="2">
        <f>AVERAGE(Table46[Jackson (size)])</f>
        <v>10938890</v>
      </c>
      <c r="J42" s="2">
        <f>AVERAGE(Table46[DSL-JSON (size)])</f>
        <v>10188890</v>
      </c>
      <c r="K42" s="2">
        <f>AVERAGE(Table46[Kryo (size)])</f>
        <v>3888890</v>
      </c>
      <c r="L42" s="2">
        <f>AVERAGE(Table46[Boon (size)])</f>
        <v>8988890</v>
      </c>
      <c r="M42" s="5">
        <f>AVERAGE(Table46[Alibaba (size)])</f>
        <v>10938890</v>
      </c>
      <c r="N42" s="2">
        <f>AVERAGE(Table46[Gson (size)])</f>
        <v>10938890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DEVSQ(Table46[Newtonsoft])</f>
        <v>74</v>
      </c>
      <c r="D47" s="2">
        <f>DEVSQ(Table46[Revenj])</f>
        <v>242</v>
      </c>
      <c r="E47" s="2">
        <f>DEVSQ(Table46[ProtoBuf (binary reference)])</f>
        <v>278</v>
      </c>
      <c r="F47" s="2">
        <f>DEVSQ(Table46[Service Stack])</f>
        <v>392.66666666666669</v>
      </c>
      <c r="G47" s="2">
        <f>DEVSQ(Table46[Jil])</f>
        <v>480.66666666666663</v>
      </c>
      <c r="H47" s="2">
        <f>DEVSQ(Table46[NetJSON])</f>
        <v>372.66666666666669</v>
      </c>
      <c r="I47" s="2">
        <f>DEVSQ(Table46[Jackson])</f>
        <v>584</v>
      </c>
      <c r="J47" s="2">
        <f>DEVSQ(Table46[DSL-JSON])</f>
        <v>86</v>
      </c>
      <c r="K47" s="2">
        <f>DEVSQ(Table46[Kryo (binary reference)])</f>
        <v>116.66666666666667</v>
      </c>
      <c r="L47" s="2">
        <f>DEVSQ(Table46[Boon])</f>
        <v>268.66666666666669</v>
      </c>
      <c r="M47" s="2">
        <f>DEVSQ(Table46[Alibaba])</f>
        <v>6948.6666666666661</v>
      </c>
      <c r="N47" s="2">
        <f>DEVSQ(Table46[Gson])</f>
        <v>4050.6666666666661</v>
      </c>
      <c r="O47" s="2"/>
      <c r="P47" s="2"/>
      <c r="Q47" s="2"/>
    </row>
    <row r="48" spans="2:17" x14ac:dyDescent="0.25">
      <c r="B48" t="s">
        <v>23</v>
      </c>
      <c r="C48" s="2">
        <f>DEVSQ(Table48[Newtonsoft])</f>
        <v>592.66666666666663</v>
      </c>
      <c r="D48" s="2">
        <f>DEVSQ(Table48[Revenj])</f>
        <v>4.666666666666667</v>
      </c>
      <c r="E48" s="2">
        <f>DEVSQ(Table48[ProtoBuf (binary reference)])</f>
        <v>460.66666666666669</v>
      </c>
      <c r="F48" s="2">
        <f>DEVSQ(Table48[Service Stack])</f>
        <v>602</v>
      </c>
      <c r="G48" s="2">
        <f>DEVSQ(Table48[Jil])</f>
        <v>806</v>
      </c>
      <c r="H48" s="2">
        <f>DEVSQ(Table48[NetJSON])</f>
        <v>258.66666666666663</v>
      </c>
      <c r="I48" s="2">
        <f>DEVSQ(Table48[Jackson])</f>
        <v>268.66666666666669</v>
      </c>
      <c r="J48" s="2">
        <f>DEVSQ(Table48[DSL-JSON])</f>
        <v>818</v>
      </c>
      <c r="K48" s="2">
        <f>DEVSQ(Table48[Kryo (binary reference)])</f>
        <v>418.66666666666669</v>
      </c>
      <c r="L48" s="2" t="e">
        <f>DEVSQ(Table48[Boon])</f>
        <v>#NUM!</v>
      </c>
      <c r="M48" s="2">
        <f>DEVSQ(Table48[Alibaba])</f>
        <v>18902</v>
      </c>
      <c r="N48" s="2">
        <f>DEVSQ(Table48[Gson])</f>
        <v>16682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343</v>
      </c>
      <c r="C52">
        <v>367</v>
      </c>
      <c r="D52">
        <v>358</v>
      </c>
      <c r="E52">
        <v>365</v>
      </c>
      <c r="F52">
        <v>365</v>
      </c>
      <c r="G52">
        <v>367</v>
      </c>
      <c r="H52">
        <v>352</v>
      </c>
      <c r="I52">
        <v>367</v>
      </c>
      <c r="J52">
        <v>358</v>
      </c>
      <c r="K52">
        <v>368</v>
      </c>
      <c r="L52">
        <v>369</v>
      </c>
      <c r="M52">
        <v>355</v>
      </c>
    </row>
    <row r="53" spans="2:25" x14ac:dyDescent="0.25">
      <c r="B53">
        <v>367</v>
      </c>
      <c r="C53">
        <v>354</v>
      </c>
      <c r="D53">
        <v>358</v>
      </c>
      <c r="E53">
        <v>357</v>
      </c>
      <c r="F53">
        <v>363</v>
      </c>
      <c r="G53">
        <v>360</v>
      </c>
      <c r="H53">
        <v>356</v>
      </c>
      <c r="I53">
        <v>355</v>
      </c>
      <c r="J53">
        <v>373</v>
      </c>
      <c r="K53">
        <v>371</v>
      </c>
      <c r="L53">
        <v>363</v>
      </c>
      <c r="M53">
        <v>370</v>
      </c>
    </row>
    <row r="54" spans="2:25" x14ac:dyDescent="0.25">
      <c r="B54">
        <v>342</v>
      </c>
      <c r="C54">
        <v>365</v>
      </c>
      <c r="D54">
        <v>361</v>
      </c>
      <c r="E54">
        <v>360</v>
      </c>
      <c r="F54">
        <v>353</v>
      </c>
      <c r="G54">
        <v>365</v>
      </c>
      <c r="H54">
        <v>362</v>
      </c>
      <c r="I54">
        <v>356</v>
      </c>
      <c r="J54">
        <v>369</v>
      </c>
      <c r="K54">
        <v>368</v>
      </c>
      <c r="L54">
        <v>356</v>
      </c>
      <c r="M54">
        <v>358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926</v>
      </c>
      <c r="C58">
        <v>572</v>
      </c>
      <c r="D58">
        <v>563</v>
      </c>
      <c r="E58">
        <v>780</v>
      </c>
      <c r="F58">
        <v>1060</v>
      </c>
      <c r="G58">
        <v>834</v>
      </c>
      <c r="H58">
        <v>580</v>
      </c>
      <c r="I58">
        <v>478</v>
      </c>
      <c r="J58">
        <v>483</v>
      </c>
      <c r="K58">
        <v>992</v>
      </c>
      <c r="L58">
        <v>1099</v>
      </c>
      <c r="M58">
        <v>1183</v>
      </c>
      <c r="N58">
        <v>11938890</v>
      </c>
      <c r="O58">
        <v>10188890</v>
      </c>
      <c r="P58">
        <v>4488890</v>
      </c>
      <c r="Q58">
        <v>11838890</v>
      </c>
      <c r="R58">
        <v>11938890</v>
      </c>
      <c r="S58">
        <v>11288890</v>
      </c>
      <c r="T58">
        <v>10938890</v>
      </c>
      <c r="U58">
        <v>10188890</v>
      </c>
      <c r="V58">
        <v>3888890</v>
      </c>
      <c r="W58">
        <v>8988890</v>
      </c>
      <c r="X58">
        <v>10938890</v>
      </c>
      <c r="Y58">
        <v>10938890</v>
      </c>
    </row>
    <row r="59" spans="2:25" x14ac:dyDescent="0.25">
      <c r="B59">
        <v>925</v>
      </c>
      <c r="C59">
        <v>561</v>
      </c>
      <c r="D59">
        <v>540</v>
      </c>
      <c r="E59">
        <v>800</v>
      </c>
      <c r="F59">
        <v>1075</v>
      </c>
      <c r="G59">
        <v>812</v>
      </c>
      <c r="H59">
        <v>594</v>
      </c>
      <c r="I59">
        <v>473</v>
      </c>
      <c r="J59">
        <v>468</v>
      </c>
      <c r="K59">
        <v>994</v>
      </c>
      <c r="L59">
        <v>1016</v>
      </c>
      <c r="M59">
        <v>1229</v>
      </c>
      <c r="N59">
        <v>11938890</v>
      </c>
      <c r="O59">
        <v>10188890</v>
      </c>
      <c r="P59">
        <v>4488890</v>
      </c>
      <c r="Q59">
        <v>11838890</v>
      </c>
      <c r="R59">
        <v>11938890</v>
      </c>
      <c r="S59">
        <v>11288890</v>
      </c>
      <c r="T59">
        <v>10938890</v>
      </c>
      <c r="U59">
        <v>10188890</v>
      </c>
      <c r="V59">
        <v>3888890</v>
      </c>
      <c r="W59">
        <v>8988890</v>
      </c>
      <c r="X59">
        <v>10938890</v>
      </c>
      <c r="Y59">
        <v>10938890</v>
      </c>
    </row>
    <row r="60" spans="2:25" x14ac:dyDescent="0.25">
      <c r="B60">
        <v>936</v>
      </c>
      <c r="C60">
        <v>583</v>
      </c>
      <c r="D60">
        <v>547</v>
      </c>
      <c r="E60">
        <v>807</v>
      </c>
      <c r="F60">
        <v>1091</v>
      </c>
      <c r="G60">
        <v>809</v>
      </c>
      <c r="H60">
        <v>614</v>
      </c>
      <c r="I60">
        <v>486</v>
      </c>
      <c r="J60">
        <v>473</v>
      </c>
      <c r="K60">
        <v>1013</v>
      </c>
      <c r="L60">
        <v>1130</v>
      </c>
      <c r="M60">
        <v>1139</v>
      </c>
      <c r="N60">
        <v>11938890</v>
      </c>
      <c r="O60">
        <v>10188890</v>
      </c>
      <c r="P60">
        <v>4488890</v>
      </c>
      <c r="Q60">
        <v>11838890</v>
      </c>
      <c r="R60">
        <v>11938890</v>
      </c>
      <c r="S60">
        <v>11288890</v>
      </c>
      <c r="T60">
        <v>10938890</v>
      </c>
      <c r="U60">
        <v>10188890</v>
      </c>
      <c r="V60">
        <v>3888890</v>
      </c>
      <c r="W60">
        <v>8988890</v>
      </c>
      <c r="X60">
        <v>10938890</v>
      </c>
      <c r="Y60">
        <v>10938890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2132</v>
      </c>
      <c r="C64">
        <v>939</v>
      </c>
      <c r="D64">
        <v>890</v>
      </c>
      <c r="E64">
        <v>2714</v>
      </c>
      <c r="F64">
        <v>1605</v>
      </c>
      <c r="G64">
        <v>2076</v>
      </c>
      <c r="H64">
        <v>1012</v>
      </c>
      <c r="I64">
        <v>576</v>
      </c>
      <c r="J64">
        <v>560</v>
      </c>
      <c r="L64">
        <v>1516</v>
      </c>
      <c r="M64">
        <v>2022</v>
      </c>
    </row>
    <row r="65" spans="2:13" x14ac:dyDescent="0.25">
      <c r="B65">
        <v>2107</v>
      </c>
      <c r="C65">
        <v>938</v>
      </c>
      <c r="D65">
        <v>879</v>
      </c>
      <c r="E65">
        <v>2683</v>
      </c>
      <c r="F65">
        <v>1573</v>
      </c>
      <c r="G65">
        <v>2054</v>
      </c>
      <c r="H65">
        <v>1010</v>
      </c>
      <c r="I65">
        <v>538</v>
      </c>
      <c r="J65">
        <v>534</v>
      </c>
      <c r="L65">
        <v>1580</v>
      </c>
      <c r="M65">
        <v>2171</v>
      </c>
    </row>
    <row r="66" spans="2:13" x14ac:dyDescent="0.25">
      <c r="B66">
        <v>2140</v>
      </c>
      <c r="C66">
        <v>941</v>
      </c>
      <c r="D66">
        <v>860</v>
      </c>
      <c r="E66">
        <v>2712</v>
      </c>
      <c r="F66">
        <v>1610</v>
      </c>
      <c r="G66">
        <v>2070</v>
      </c>
      <c r="H66">
        <v>1031</v>
      </c>
      <c r="I66">
        <v>569</v>
      </c>
      <c r="J66">
        <v>558</v>
      </c>
      <c r="L66">
        <v>1707</v>
      </c>
      <c r="M66">
        <v>2188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44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AVERAGE(Table52[Newtonsoft])</f>
        <v>3428</v>
      </c>
      <c r="D38" s="2">
        <f>AVERAGE(Table52[Revenj])</f>
        <v>3506.6666666666665</v>
      </c>
      <c r="E38" s="2">
        <f>AVERAGE(Table52[ProtoBuf (binary reference)])</f>
        <v>3458.3333333333335</v>
      </c>
      <c r="F38" s="2">
        <f>AVERAGE(Table52[Service Stack])</f>
        <v>3426.6666666666665</v>
      </c>
      <c r="G38" s="2">
        <f>AVERAGE(Table52[Jil])</f>
        <v>3355.6666666666665</v>
      </c>
      <c r="H38" s="2">
        <f>AVERAGE(Table52[NetJSON])</f>
        <v>3522.6666666666665</v>
      </c>
      <c r="I38" s="2">
        <f>AVERAGE(Table52[Jackson])</f>
        <v>2485.3333333333335</v>
      </c>
      <c r="J38" s="2">
        <f>AVERAGE(Table52[DSL-JSON])</f>
        <v>2521.6666666666665</v>
      </c>
      <c r="K38" s="2">
        <f>AVERAGE(Table52[Kryo (binary reference)])</f>
        <v>2482.6666666666665</v>
      </c>
      <c r="L38" s="2">
        <f>AVERAGE(Table52[Boon])</f>
        <v>2466.3333333333335</v>
      </c>
      <c r="M38" s="2">
        <f>AVERAGE(Table52[Alibaba])</f>
        <v>2484</v>
      </c>
      <c r="N38" s="2">
        <f>AVERAGE(Table52[Gson])</f>
        <v>2495</v>
      </c>
      <c r="O38" s="2"/>
      <c r="P38" s="2"/>
      <c r="Q38" s="2"/>
    </row>
    <row r="39" spans="2:17" x14ac:dyDescent="0.25">
      <c r="B39" t="s">
        <v>0</v>
      </c>
      <c r="C39" s="2">
        <f>AVERAGE(Table51[Newtonsoft]) - C38</f>
        <v>5803</v>
      </c>
      <c r="D39" s="2">
        <f>AVERAGE(Table51[Revenj]) - D38</f>
        <v>2043.0000000000005</v>
      </c>
      <c r="E39" s="2">
        <f>AVERAGE(Table51[ProtoBuf (binary reference)]) - E38</f>
        <v>1889.9999999999995</v>
      </c>
      <c r="F39" s="2">
        <f>AVERAGE(Table51[Service Stack]) - F38</f>
        <v>4408</v>
      </c>
      <c r="G39" s="2">
        <f>AVERAGE(Table51[Jil]) - G38</f>
        <v>7280</v>
      </c>
      <c r="H39" s="2">
        <f>AVERAGE(Table51[NetJSON]) - H38</f>
        <v>4610.6666666666661</v>
      </c>
      <c r="I39" s="2">
        <f>AVERAGE(Table51[Jackson]) - I38</f>
        <v>1476.333333333333</v>
      </c>
      <c r="J39" s="2">
        <f>AVERAGE(Table51[DSL-JSON]) - J38</f>
        <v>501.66666666666697</v>
      </c>
      <c r="K39" s="2">
        <f>AVERAGE(Table51[Kryo (binary reference)]) - K38</f>
        <v>550</v>
      </c>
      <c r="L39" s="2">
        <f>AVERAGE(Table51[Boon]) - L38</f>
        <v>4453.6666666666661</v>
      </c>
      <c r="M39" s="5">
        <f>AVERAGE(Table51[Alibaba]) - M38</f>
        <v>4509</v>
      </c>
      <c r="N39" s="2">
        <f>AVERAGE(Table51[Gson]) - N38</f>
        <v>5944.3333333333339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11466.666666666668</v>
      </c>
      <c r="D40" s="2">
        <f t="shared" si="0"/>
        <v>3556.9999999999995</v>
      </c>
      <c r="E40" s="2">
        <f t="shared" ref="E40" si="1">E41 - E39 - E38</f>
        <v>3370.0000000000005</v>
      </c>
      <c r="F40" s="2">
        <f t="shared" si="0"/>
        <v>18855</v>
      </c>
      <c r="G40" s="2">
        <f t="shared" si="0"/>
        <v>4864.6666666666679</v>
      </c>
      <c r="H40" s="2">
        <f t="shared" si="0"/>
        <v>12203.333333333336</v>
      </c>
      <c r="I40" s="2">
        <f t="shared" ref="I40" si="2">I41 - I39 - I38</f>
        <v>2829.3333333333335</v>
      </c>
      <c r="J40" s="2">
        <f t="shared" ref="J40" si="3">J41 - J39 - J38</f>
        <v>589.33333333333303</v>
      </c>
      <c r="K40" s="2">
        <f t="shared" ref="K40:L40" si="4">K41 - K39 - K38</f>
        <v>618.66666666666697</v>
      </c>
      <c r="L40" s="2" t="e">
        <f t="shared" si="4"/>
        <v>#DIV/0!</v>
      </c>
      <c r="M40" s="2">
        <f t="shared" ref="M40" si="5">M41 - M39 - M38</f>
        <v>4054</v>
      </c>
      <c r="N40" s="2">
        <f t="shared" ref="N40" si="6">N41 - N39 - N38</f>
        <v>5571.3333333333321</v>
      </c>
      <c r="O40" s="2"/>
      <c r="P40" s="2"/>
      <c r="Q40" s="2"/>
    </row>
    <row r="41" spans="2:17" x14ac:dyDescent="0.25">
      <c r="B41" t="s">
        <v>23</v>
      </c>
      <c r="C41" s="2">
        <f>AVERAGE(Table53[Newtonsoft])</f>
        <v>20697.666666666668</v>
      </c>
      <c r="D41" s="2">
        <f>AVERAGE(Table53[Revenj])</f>
        <v>9106.6666666666661</v>
      </c>
      <c r="E41" s="2">
        <f>AVERAGE(Table53[ProtoBuf (binary reference)])</f>
        <v>8718.3333333333339</v>
      </c>
      <c r="F41" s="2">
        <f>AVERAGE(Table53[Service Stack])</f>
        <v>26689.666666666668</v>
      </c>
      <c r="G41" s="2">
        <f>AVERAGE(Table53[Jil])</f>
        <v>15500.333333333334</v>
      </c>
      <c r="H41" s="2">
        <f>AVERAGE(Table53[NetJSON])</f>
        <v>20336.666666666668</v>
      </c>
      <c r="I41" s="2">
        <f>AVERAGE(Table53[Jackson])</f>
        <v>6791</v>
      </c>
      <c r="J41" s="2">
        <f>AVERAGE(Table53[DSL-JSON])</f>
        <v>3612.6666666666665</v>
      </c>
      <c r="K41" s="2">
        <f>AVERAGE(Table53[Kryo (binary reference)])</f>
        <v>3651.3333333333335</v>
      </c>
      <c r="L41" s="2" t="e">
        <f>AVERAGE(Table53[Boon])</f>
        <v>#DIV/0!</v>
      </c>
      <c r="M41" s="5">
        <f>AVERAGE(Table53[Alibaba])</f>
        <v>11047</v>
      </c>
      <c r="N41" s="2">
        <f>AVERAGE(Table53[Gson])</f>
        <v>14010.666666666666</v>
      </c>
      <c r="O41" s="2"/>
      <c r="P41" s="2"/>
      <c r="Q41" s="2"/>
    </row>
    <row r="42" spans="2:17" x14ac:dyDescent="0.25">
      <c r="B42" t="s">
        <v>4</v>
      </c>
      <c r="C42" s="3">
        <f>AVERAGE(Table51[Newtonsoft (size)])</f>
        <v>120388890</v>
      </c>
      <c r="D42" s="3">
        <f>AVERAGE(Table51[Revenj (size)])</f>
        <v>102888890</v>
      </c>
      <c r="E42" s="3">
        <f>AVERAGE(Table51[ProtoBuf (size)])</f>
        <v>45888890</v>
      </c>
      <c r="F42" s="3">
        <f>AVERAGE(Table51[Service Stack (size)])</f>
        <v>119388890</v>
      </c>
      <c r="G42" s="2">
        <f>AVERAGE(Table51[Jil (size)])</f>
        <v>120388890</v>
      </c>
      <c r="H42" s="2">
        <f>AVERAGE(Table51[NetJSON (size)])</f>
        <v>113888890</v>
      </c>
      <c r="I42" s="2">
        <f>AVERAGE(Table51[Jackson (size)])</f>
        <v>110388890</v>
      </c>
      <c r="J42" s="2">
        <f>AVERAGE(Table51[DSL-JSON (size)])</f>
        <v>102888890</v>
      </c>
      <c r="K42" s="2">
        <f>AVERAGE(Table51[Kryo (size)])</f>
        <v>39888890</v>
      </c>
      <c r="L42" s="2">
        <f>AVERAGE(Table51[Boon (size)])</f>
        <v>90888890</v>
      </c>
      <c r="M42" s="5">
        <f>AVERAGE(Table51[Alibaba (size)])</f>
        <v>110388890</v>
      </c>
      <c r="N42" s="2">
        <f>AVERAGE(Table51[Gson (size)])</f>
        <v>110388890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DEVSQ(Table51[Newtonsoft])</f>
        <v>27950</v>
      </c>
      <c r="D47" s="2">
        <f>DEVSQ(Table51[Revenj])</f>
        <v>26052.666666666664</v>
      </c>
      <c r="E47" s="2">
        <f>DEVSQ(Table51[ProtoBuf (binary reference)])</f>
        <v>11682.666666666668</v>
      </c>
      <c r="F47" s="2">
        <f>DEVSQ(Table51[Service Stack])</f>
        <v>104.66666666666669</v>
      </c>
      <c r="G47" s="2">
        <f>DEVSQ(Table51[Jil])</f>
        <v>4428.6666666666661</v>
      </c>
      <c r="H47" s="2">
        <f>DEVSQ(Table51[NetJSON])</f>
        <v>5772.6666666666661</v>
      </c>
      <c r="I47" s="2">
        <f>DEVSQ(Table51[Jackson])</f>
        <v>19820.666666666664</v>
      </c>
      <c r="J47" s="2">
        <f>DEVSQ(Table51[DSL-JSON])</f>
        <v>2122.666666666667</v>
      </c>
      <c r="K47" s="2">
        <f>DEVSQ(Table51[Kryo (binary reference)])</f>
        <v>1108.6666666666667</v>
      </c>
      <c r="L47" s="2">
        <f>DEVSQ(Table51[Boon])</f>
        <v>8826</v>
      </c>
      <c r="M47" s="2">
        <f>DEVSQ(Table51[Alibaba])</f>
        <v>74606</v>
      </c>
      <c r="N47" s="2">
        <f>DEVSQ(Table51[Gson])</f>
        <v>26968.666666666668</v>
      </c>
      <c r="O47" s="2"/>
      <c r="P47" s="2"/>
      <c r="Q47" s="2"/>
    </row>
    <row r="48" spans="2:17" x14ac:dyDescent="0.25">
      <c r="B48" t="s">
        <v>23</v>
      </c>
      <c r="C48" s="2">
        <f>DEVSQ(Table53[Newtonsoft])</f>
        <v>48202.666666666664</v>
      </c>
      <c r="D48" s="2">
        <f>DEVSQ(Table53[Revenj])</f>
        <v>53648.666666666672</v>
      </c>
      <c r="E48" s="2">
        <f>DEVSQ(Table53[ProtoBuf (binary reference)])</f>
        <v>176978.66666666666</v>
      </c>
      <c r="F48" s="2">
        <f>DEVSQ(Table53[Service Stack])</f>
        <v>9160.6666666666679</v>
      </c>
      <c r="G48" s="2">
        <f>DEVSQ(Table53[Jil])</f>
        <v>38060.666666666664</v>
      </c>
      <c r="H48" s="2">
        <f>DEVSQ(Table53[NetJSON])</f>
        <v>10404.666666666668</v>
      </c>
      <c r="I48" s="2">
        <f>DEVSQ(Table53[Jackson])</f>
        <v>39264</v>
      </c>
      <c r="J48" s="2">
        <f>DEVSQ(Table53[DSL-JSON])</f>
        <v>42944.666666666664</v>
      </c>
      <c r="K48" s="2">
        <f>DEVSQ(Table53[Kryo (binary reference)])</f>
        <v>12002.666666666668</v>
      </c>
      <c r="L48" s="2" t="e">
        <f>DEVSQ(Table53[Boon])</f>
        <v>#NUM!</v>
      </c>
      <c r="M48" s="2">
        <f>DEVSQ(Table53[Alibaba])</f>
        <v>232466</v>
      </c>
      <c r="N48" s="2">
        <f>DEVSQ(Table53[Gson])</f>
        <v>44554.666666666672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3353</v>
      </c>
      <c r="C52">
        <v>3470</v>
      </c>
      <c r="D52">
        <v>3422</v>
      </c>
      <c r="E52">
        <v>3446</v>
      </c>
      <c r="F52">
        <v>3350</v>
      </c>
      <c r="G52">
        <v>3537</v>
      </c>
      <c r="H52">
        <v>2509</v>
      </c>
      <c r="I52">
        <v>2452</v>
      </c>
      <c r="J52">
        <v>2528</v>
      </c>
      <c r="K52">
        <v>2449</v>
      </c>
      <c r="L52">
        <v>2485</v>
      </c>
      <c r="M52">
        <v>2448</v>
      </c>
    </row>
    <row r="53" spans="2:25" x14ac:dyDescent="0.25">
      <c r="B53">
        <v>3465</v>
      </c>
      <c r="C53">
        <v>3620</v>
      </c>
      <c r="D53">
        <v>3451</v>
      </c>
      <c r="E53">
        <v>3444</v>
      </c>
      <c r="F53">
        <v>3440</v>
      </c>
      <c r="G53">
        <v>3534</v>
      </c>
      <c r="H53">
        <v>2491</v>
      </c>
      <c r="I53">
        <v>2531</v>
      </c>
      <c r="J53">
        <v>2484</v>
      </c>
      <c r="K53">
        <v>2464</v>
      </c>
      <c r="L53">
        <v>2504</v>
      </c>
      <c r="M53">
        <v>2537</v>
      </c>
    </row>
    <row r="54" spans="2:25" x14ac:dyDescent="0.25">
      <c r="B54">
        <v>3466</v>
      </c>
      <c r="C54">
        <v>3430</v>
      </c>
      <c r="D54">
        <v>3502</v>
      </c>
      <c r="E54">
        <v>3390</v>
      </c>
      <c r="F54">
        <v>3277</v>
      </c>
      <c r="G54">
        <v>3497</v>
      </c>
      <c r="H54">
        <v>2456</v>
      </c>
      <c r="I54">
        <v>2582</v>
      </c>
      <c r="J54">
        <v>2436</v>
      </c>
      <c r="K54">
        <v>2486</v>
      </c>
      <c r="L54">
        <v>2463</v>
      </c>
      <c r="M54">
        <v>2500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9216</v>
      </c>
      <c r="C58">
        <v>5676</v>
      </c>
      <c r="D58">
        <v>5429</v>
      </c>
      <c r="E58">
        <v>7831</v>
      </c>
      <c r="F58">
        <v>10644</v>
      </c>
      <c r="G58">
        <v>8176</v>
      </c>
      <c r="H58">
        <v>3958</v>
      </c>
      <c r="I58">
        <v>3038</v>
      </c>
      <c r="J58">
        <v>3010</v>
      </c>
      <c r="K58">
        <v>6949</v>
      </c>
      <c r="L58">
        <v>7139</v>
      </c>
      <c r="M58">
        <v>8567</v>
      </c>
      <c r="N58">
        <v>120388890</v>
      </c>
      <c r="O58">
        <v>102888890</v>
      </c>
      <c r="P58">
        <v>45888890</v>
      </c>
      <c r="Q58">
        <v>119388890</v>
      </c>
      <c r="R58">
        <v>120388890</v>
      </c>
      <c r="S58">
        <v>113888890</v>
      </c>
      <c r="T58">
        <v>110388890</v>
      </c>
      <c r="U58">
        <v>102888890</v>
      </c>
      <c r="V58">
        <v>39888890</v>
      </c>
      <c r="W58">
        <v>90888890</v>
      </c>
      <c r="X58">
        <v>110388890</v>
      </c>
      <c r="Y58">
        <v>110388890</v>
      </c>
    </row>
    <row r="59" spans="2:25" x14ac:dyDescent="0.25">
      <c r="B59">
        <v>9121</v>
      </c>
      <c r="C59">
        <v>5519</v>
      </c>
      <c r="D59">
        <v>5277</v>
      </c>
      <c r="E59">
        <v>7843</v>
      </c>
      <c r="F59">
        <v>10678</v>
      </c>
      <c r="G59">
        <v>8151</v>
      </c>
      <c r="H59">
        <v>4063</v>
      </c>
      <c r="I59">
        <v>2986</v>
      </c>
      <c r="J59">
        <v>3057</v>
      </c>
      <c r="K59">
        <v>6967</v>
      </c>
      <c r="L59">
        <v>6774</v>
      </c>
      <c r="M59">
        <v>8340</v>
      </c>
      <c r="N59">
        <v>120388890</v>
      </c>
      <c r="O59">
        <v>102888890</v>
      </c>
      <c r="P59">
        <v>45888890</v>
      </c>
      <c r="Q59">
        <v>119388890</v>
      </c>
      <c r="R59">
        <v>120388890</v>
      </c>
      <c r="S59">
        <v>113888890</v>
      </c>
      <c r="T59">
        <v>110388890</v>
      </c>
      <c r="U59">
        <v>102888890</v>
      </c>
      <c r="V59">
        <v>39888890</v>
      </c>
      <c r="W59">
        <v>90888890</v>
      </c>
      <c r="X59">
        <v>110388890</v>
      </c>
      <c r="Y59">
        <v>110388890</v>
      </c>
    </row>
    <row r="60" spans="2:25" x14ac:dyDescent="0.25">
      <c r="B60">
        <v>9356</v>
      </c>
      <c r="C60">
        <v>5454</v>
      </c>
      <c r="D60">
        <v>5339</v>
      </c>
      <c r="E60">
        <v>7830</v>
      </c>
      <c r="F60">
        <v>10585</v>
      </c>
      <c r="G60">
        <v>8073</v>
      </c>
      <c r="H60">
        <v>3864</v>
      </c>
      <c r="I60">
        <v>3046</v>
      </c>
      <c r="J60">
        <v>3031</v>
      </c>
      <c r="K60">
        <v>6844</v>
      </c>
      <c r="L60">
        <v>7066</v>
      </c>
      <c r="M60">
        <v>8411</v>
      </c>
      <c r="N60">
        <v>120388890</v>
      </c>
      <c r="O60">
        <v>102888890</v>
      </c>
      <c r="P60">
        <v>45888890</v>
      </c>
      <c r="Q60">
        <v>119388890</v>
      </c>
      <c r="R60">
        <v>120388890</v>
      </c>
      <c r="S60">
        <v>113888890</v>
      </c>
      <c r="T60">
        <v>110388890</v>
      </c>
      <c r="U60">
        <v>102888890</v>
      </c>
      <c r="V60">
        <v>39888890</v>
      </c>
      <c r="W60">
        <v>90888890</v>
      </c>
      <c r="X60">
        <v>110388890</v>
      </c>
      <c r="Y60">
        <v>110388890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20863</v>
      </c>
      <c r="C64">
        <v>9069</v>
      </c>
      <c r="D64">
        <v>8881</v>
      </c>
      <c r="E64">
        <v>26765</v>
      </c>
      <c r="F64">
        <v>15655</v>
      </c>
      <c r="G64">
        <v>20415</v>
      </c>
      <c r="H64">
        <v>6667</v>
      </c>
      <c r="I64">
        <v>3761</v>
      </c>
      <c r="J64">
        <v>3736</v>
      </c>
      <c r="L64">
        <v>10916</v>
      </c>
      <c r="M64">
        <v>14132</v>
      </c>
    </row>
    <row r="65" spans="2:13" x14ac:dyDescent="0.25">
      <c r="B65">
        <v>20675</v>
      </c>
      <c r="C65">
        <v>9286</v>
      </c>
      <c r="D65">
        <v>8899</v>
      </c>
      <c r="E65">
        <v>26670</v>
      </c>
      <c r="F65">
        <v>15390</v>
      </c>
      <c r="G65">
        <v>20322</v>
      </c>
      <c r="H65">
        <v>6943</v>
      </c>
      <c r="I65">
        <v>3468</v>
      </c>
      <c r="J65">
        <v>3634</v>
      </c>
      <c r="L65">
        <v>10791</v>
      </c>
      <c r="M65">
        <v>13844</v>
      </c>
    </row>
    <row r="66" spans="2:13" x14ac:dyDescent="0.25">
      <c r="B66">
        <v>20555</v>
      </c>
      <c r="C66">
        <v>8965</v>
      </c>
      <c r="D66">
        <v>8375</v>
      </c>
      <c r="E66">
        <v>26634</v>
      </c>
      <c r="F66">
        <v>15456</v>
      </c>
      <c r="G66">
        <v>20273</v>
      </c>
      <c r="H66">
        <v>6763</v>
      </c>
      <c r="I66">
        <v>3609</v>
      </c>
      <c r="J66">
        <v>3584</v>
      </c>
      <c r="L66">
        <v>11434</v>
      </c>
      <c r="M66">
        <v>14056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Startup</vt:lpstr>
      <vt:lpstr>Small M 1</vt:lpstr>
      <vt:lpstr>Small M 2</vt:lpstr>
      <vt:lpstr>Small M 3</vt:lpstr>
      <vt:lpstr>Small C 1</vt:lpstr>
      <vt:lpstr>Small C 2</vt:lpstr>
      <vt:lpstr>Small C 3</vt:lpstr>
      <vt:lpstr>Small P 1</vt:lpstr>
      <vt:lpstr>Small P 2</vt:lpstr>
      <vt:lpstr>Small P 3</vt:lpstr>
      <vt:lpstr>Std D 1</vt:lpstr>
      <vt:lpstr>Std D 2</vt:lpstr>
      <vt:lpstr>Std D 3</vt:lpstr>
      <vt:lpstr>Std P 1</vt:lpstr>
      <vt:lpstr>Std P 2</vt:lpstr>
      <vt:lpstr>Std P 3</vt:lpstr>
      <vt:lpstr>Large 1</vt:lpstr>
      <vt:lpstr>Large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2016-04-09T22:13:29Z</dcterms:modified>
</cp:coreProperties>
</file>