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285" yWindow="210" windowWidth="20115" windowHeight="7995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45621"/>
</workbook>
</file>

<file path=xl/calcChain.xml><?xml version="1.0" encoding="utf-8"?>
<calcChain xmlns="http://schemas.openxmlformats.org/spreadsheetml/2006/main">
  <c r="M39" i="11" l="1"/>
  <c r="M39" i="10"/>
  <c r="M39" i="9"/>
  <c r="M42" i="11" l="1"/>
  <c r="M41" i="11"/>
  <c r="M42" i="10"/>
  <c r="M41" i="10"/>
  <c r="M42" i="9"/>
  <c r="M41" i="9"/>
  <c r="N48" i="19" l="1"/>
  <c r="M48" i="19"/>
  <c r="L48" i="19"/>
  <c r="K48" i="19"/>
  <c r="J48" i="19"/>
  <c r="I48" i="19"/>
  <c r="H48" i="19"/>
  <c r="G48" i="19"/>
  <c r="F48" i="19"/>
  <c r="E48" i="19"/>
  <c r="D48" i="19"/>
  <c r="C48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N38" i="19"/>
  <c r="N39" i="19" s="1"/>
  <c r="N40" i="19" s="1"/>
  <c r="M38" i="19"/>
  <c r="M39" i="19" s="1"/>
  <c r="M40" i="19" s="1"/>
  <c r="L38" i="19"/>
  <c r="L39" i="19" s="1"/>
  <c r="L40" i="19" s="1"/>
  <c r="K38" i="19"/>
  <c r="K39" i="19" s="1"/>
  <c r="K40" i="19" s="1"/>
  <c r="J38" i="19"/>
  <c r="J39" i="19" s="1"/>
  <c r="J40" i="19" s="1"/>
  <c r="I38" i="19"/>
  <c r="I39" i="19" s="1"/>
  <c r="I40" i="19" s="1"/>
  <c r="H38" i="19"/>
  <c r="H39" i="19" s="1"/>
  <c r="H40" i="19" s="1"/>
  <c r="G38" i="19"/>
  <c r="G39" i="19" s="1"/>
  <c r="G40" i="19" s="1"/>
  <c r="F38" i="19"/>
  <c r="F39" i="19" s="1"/>
  <c r="F40" i="19" s="1"/>
  <c r="E38" i="19"/>
  <c r="E39" i="19" s="1"/>
  <c r="E40" i="19" s="1"/>
  <c r="D38" i="19"/>
  <c r="D39" i="19" s="1"/>
  <c r="D40" i="19" s="1"/>
  <c r="C38" i="19"/>
  <c r="C39" i="19" s="1"/>
  <c r="N48" i="18"/>
  <c r="M48" i="18"/>
  <c r="L48" i="18"/>
  <c r="K48" i="18"/>
  <c r="J48" i="18"/>
  <c r="I48" i="18"/>
  <c r="H48" i="18"/>
  <c r="G48" i="18"/>
  <c r="F48" i="18"/>
  <c r="E48" i="18"/>
  <c r="D48" i="18"/>
  <c r="C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N38" i="18"/>
  <c r="N39" i="18" s="1"/>
  <c r="N40" i="18" s="1"/>
  <c r="M38" i="18"/>
  <c r="M39" i="18" s="1"/>
  <c r="M40" i="18" s="1"/>
  <c r="L38" i="18"/>
  <c r="L39" i="18" s="1"/>
  <c r="L40" i="18" s="1"/>
  <c r="K38" i="18"/>
  <c r="K39" i="18" s="1"/>
  <c r="K40" i="18" s="1"/>
  <c r="J38" i="18"/>
  <c r="J39" i="18" s="1"/>
  <c r="J40" i="18" s="1"/>
  <c r="I38" i="18"/>
  <c r="I39" i="18" s="1"/>
  <c r="I40" i="18" s="1"/>
  <c r="H38" i="18"/>
  <c r="H39" i="18" s="1"/>
  <c r="H40" i="18" s="1"/>
  <c r="G38" i="18"/>
  <c r="G39" i="18" s="1"/>
  <c r="G40" i="18" s="1"/>
  <c r="F38" i="18"/>
  <c r="F39" i="18" s="1"/>
  <c r="F40" i="18" s="1"/>
  <c r="E38" i="18"/>
  <c r="E39" i="18" s="1"/>
  <c r="E40" i="18" s="1"/>
  <c r="D38" i="18"/>
  <c r="D39" i="18" s="1"/>
  <c r="D40" i="18" s="1"/>
  <c r="C38" i="18"/>
  <c r="C39" i="18" s="1"/>
  <c r="N48" i="17"/>
  <c r="M48" i="17"/>
  <c r="L48" i="17"/>
  <c r="K48" i="17"/>
  <c r="J48" i="17"/>
  <c r="I48" i="17"/>
  <c r="H48" i="17"/>
  <c r="G48" i="17"/>
  <c r="F48" i="17"/>
  <c r="E48" i="17"/>
  <c r="D48" i="17"/>
  <c r="C48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N38" i="17"/>
  <c r="N39" i="17" s="1"/>
  <c r="N40" i="17" s="1"/>
  <c r="M38" i="17"/>
  <c r="M39" i="17" s="1"/>
  <c r="M40" i="17" s="1"/>
  <c r="L38" i="17"/>
  <c r="L39" i="17" s="1"/>
  <c r="L40" i="17" s="1"/>
  <c r="K38" i="17"/>
  <c r="K39" i="17" s="1"/>
  <c r="K40" i="17" s="1"/>
  <c r="J38" i="17"/>
  <c r="J39" i="17" s="1"/>
  <c r="J40" i="17" s="1"/>
  <c r="I38" i="17"/>
  <c r="I39" i="17" s="1"/>
  <c r="I40" i="17" s="1"/>
  <c r="H38" i="17"/>
  <c r="H39" i="17" s="1"/>
  <c r="H40" i="17" s="1"/>
  <c r="G38" i="17"/>
  <c r="G39" i="17" s="1"/>
  <c r="G40" i="17" s="1"/>
  <c r="F38" i="17"/>
  <c r="F39" i="17" s="1"/>
  <c r="F40" i="17" s="1"/>
  <c r="E38" i="17"/>
  <c r="E39" i="17" s="1"/>
  <c r="E40" i="17" s="1"/>
  <c r="D38" i="17"/>
  <c r="D39" i="17" s="1"/>
  <c r="D40" i="17" s="1"/>
  <c r="C38" i="17"/>
  <c r="C39" i="17" s="1"/>
  <c r="C40" i="17" s="1"/>
  <c r="N48" i="16"/>
  <c r="M48" i="16"/>
  <c r="L48" i="16"/>
  <c r="K48" i="16"/>
  <c r="J48" i="16"/>
  <c r="I48" i="16"/>
  <c r="H48" i="16"/>
  <c r="G48" i="16"/>
  <c r="F48" i="16"/>
  <c r="E48" i="16"/>
  <c r="D48" i="16"/>
  <c r="C48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N38" i="16"/>
  <c r="N39" i="16" s="1"/>
  <c r="N40" i="16" s="1"/>
  <c r="M38" i="16"/>
  <c r="M39" i="16" s="1"/>
  <c r="L38" i="16"/>
  <c r="L39" i="16" s="1"/>
  <c r="L40" i="16" s="1"/>
  <c r="K38" i="16"/>
  <c r="K39" i="16" s="1"/>
  <c r="K40" i="16" s="1"/>
  <c r="J38" i="16"/>
  <c r="J39" i="16" s="1"/>
  <c r="J40" i="16" s="1"/>
  <c r="I38" i="16"/>
  <c r="I39" i="16" s="1"/>
  <c r="I40" i="16" s="1"/>
  <c r="H38" i="16"/>
  <c r="H39" i="16" s="1"/>
  <c r="G38" i="16"/>
  <c r="G39" i="16" s="1"/>
  <c r="G40" i="16" s="1"/>
  <c r="F38" i="16"/>
  <c r="F39" i="16" s="1"/>
  <c r="F40" i="16" s="1"/>
  <c r="E38" i="16"/>
  <c r="E39" i="16" s="1"/>
  <c r="E40" i="16" s="1"/>
  <c r="D38" i="16"/>
  <c r="D39" i="16" s="1"/>
  <c r="D40" i="16" s="1"/>
  <c r="C38" i="16"/>
  <c r="C39" i="16" s="1"/>
  <c r="C40" i="16" s="1"/>
  <c r="N48" i="15"/>
  <c r="M48" i="15"/>
  <c r="L48" i="15"/>
  <c r="K48" i="15"/>
  <c r="J48" i="15"/>
  <c r="I48" i="15"/>
  <c r="H48" i="15"/>
  <c r="G48" i="15"/>
  <c r="F48" i="15"/>
  <c r="E48" i="15"/>
  <c r="D48" i="15"/>
  <c r="C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N38" i="15"/>
  <c r="N39" i="15" s="1"/>
  <c r="N40" i="15" s="1"/>
  <c r="M38" i="15"/>
  <c r="M39" i="15" s="1"/>
  <c r="M40" i="15" s="1"/>
  <c r="L38" i="15"/>
  <c r="L39" i="15" s="1"/>
  <c r="L40" i="15" s="1"/>
  <c r="K38" i="15"/>
  <c r="K39" i="15" s="1"/>
  <c r="K40" i="15" s="1"/>
  <c r="J38" i="15"/>
  <c r="J39" i="15" s="1"/>
  <c r="J40" i="15" s="1"/>
  <c r="I38" i="15"/>
  <c r="I39" i="15" s="1"/>
  <c r="I40" i="15" s="1"/>
  <c r="H38" i="15"/>
  <c r="H39" i="15" s="1"/>
  <c r="H40" i="15" s="1"/>
  <c r="G38" i="15"/>
  <c r="G39" i="15" s="1"/>
  <c r="G40" i="15" s="1"/>
  <c r="F38" i="15"/>
  <c r="F39" i="15" s="1"/>
  <c r="F40" i="15" s="1"/>
  <c r="E38" i="15"/>
  <c r="E39" i="15" s="1"/>
  <c r="E40" i="15" s="1"/>
  <c r="D38" i="15"/>
  <c r="D39" i="15" s="1"/>
  <c r="D40" i="15" s="1"/>
  <c r="C38" i="15"/>
  <c r="C39" i="15" s="1"/>
  <c r="C40" i="15" s="1"/>
  <c r="N48" i="14"/>
  <c r="M48" i="14"/>
  <c r="L48" i="14"/>
  <c r="K48" i="14"/>
  <c r="J48" i="14"/>
  <c r="I48" i="14"/>
  <c r="H48" i="14"/>
  <c r="G48" i="14"/>
  <c r="F48" i="14"/>
  <c r="E48" i="14"/>
  <c r="D48" i="14"/>
  <c r="C48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N38" i="14"/>
  <c r="N39" i="14" s="1"/>
  <c r="N40" i="14" s="1"/>
  <c r="M38" i="14"/>
  <c r="M39" i="14" s="1"/>
  <c r="L38" i="14"/>
  <c r="L39" i="14" s="1"/>
  <c r="L40" i="14" s="1"/>
  <c r="K38" i="14"/>
  <c r="K39" i="14" s="1"/>
  <c r="K40" i="14" s="1"/>
  <c r="J38" i="14"/>
  <c r="J39" i="14" s="1"/>
  <c r="J40" i="14" s="1"/>
  <c r="I38" i="14"/>
  <c r="I39" i="14" s="1"/>
  <c r="I40" i="14" s="1"/>
  <c r="H38" i="14"/>
  <c r="H39" i="14" s="1"/>
  <c r="H40" i="14" s="1"/>
  <c r="G38" i="14"/>
  <c r="G39" i="14" s="1"/>
  <c r="G40" i="14" s="1"/>
  <c r="F38" i="14"/>
  <c r="F39" i="14" s="1"/>
  <c r="F40" i="14" s="1"/>
  <c r="E38" i="14"/>
  <c r="E39" i="14" s="1"/>
  <c r="E40" i="14" s="1"/>
  <c r="D38" i="14"/>
  <c r="D39" i="14" s="1"/>
  <c r="D40" i="14" s="1"/>
  <c r="C38" i="14"/>
  <c r="C39" i="14" s="1"/>
  <c r="C40" i="14" s="1"/>
  <c r="N48" i="13"/>
  <c r="M48" i="13"/>
  <c r="L48" i="13"/>
  <c r="K48" i="13"/>
  <c r="J48" i="13"/>
  <c r="I48" i="13"/>
  <c r="H48" i="13"/>
  <c r="G48" i="13"/>
  <c r="F48" i="13"/>
  <c r="E48" i="13"/>
  <c r="D48" i="13"/>
  <c r="C48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N38" i="13"/>
  <c r="N39" i="13" s="1"/>
  <c r="N40" i="13" s="1"/>
  <c r="M38" i="13"/>
  <c r="M39" i="13" s="1"/>
  <c r="M40" i="13" s="1"/>
  <c r="L38" i="13"/>
  <c r="L39" i="13" s="1"/>
  <c r="L40" i="13" s="1"/>
  <c r="K38" i="13"/>
  <c r="K39" i="13" s="1"/>
  <c r="K40" i="13" s="1"/>
  <c r="J38" i="13"/>
  <c r="J39" i="13" s="1"/>
  <c r="J40" i="13" s="1"/>
  <c r="I38" i="13"/>
  <c r="I39" i="13" s="1"/>
  <c r="I40" i="13" s="1"/>
  <c r="H38" i="13"/>
  <c r="H39" i="13" s="1"/>
  <c r="H40" i="13" s="1"/>
  <c r="G38" i="13"/>
  <c r="G39" i="13" s="1"/>
  <c r="F38" i="13"/>
  <c r="F39" i="13" s="1"/>
  <c r="F40" i="13" s="1"/>
  <c r="E38" i="13"/>
  <c r="E39" i="13" s="1"/>
  <c r="E40" i="13" s="1"/>
  <c r="D38" i="13"/>
  <c r="D39" i="13" s="1"/>
  <c r="D40" i="13" s="1"/>
  <c r="C38" i="13"/>
  <c r="C39" i="13" s="1"/>
  <c r="C40" i="13" s="1"/>
  <c r="N48" i="12"/>
  <c r="M48" i="12"/>
  <c r="L48" i="12"/>
  <c r="K48" i="12"/>
  <c r="J48" i="12"/>
  <c r="I48" i="12"/>
  <c r="H48" i="12"/>
  <c r="G48" i="12"/>
  <c r="F48" i="12"/>
  <c r="E48" i="12"/>
  <c r="D48" i="12"/>
  <c r="C48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N38" i="12"/>
  <c r="N39" i="12" s="1"/>
  <c r="N40" i="12" s="1"/>
  <c r="M38" i="12"/>
  <c r="M39" i="12" s="1"/>
  <c r="M40" i="12" s="1"/>
  <c r="L38" i="12"/>
  <c r="L39" i="12" s="1"/>
  <c r="L40" i="12" s="1"/>
  <c r="K38" i="12"/>
  <c r="K39" i="12" s="1"/>
  <c r="K40" i="12" s="1"/>
  <c r="J38" i="12"/>
  <c r="J39" i="12" s="1"/>
  <c r="J40" i="12" s="1"/>
  <c r="I38" i="12"/>
  <c r="I39" i="12" s="1"/>
  <c r="I40" i="12" s="1"/>
  <c r="H38" i="12"/>
  <c r="H39" i="12" s="1"/>
  <c r="H40" i="12" s="1"/>
  <c r="G38" i="12"/>
  <c r="G39" i="12" s="1"/>
  <c r="G40" i="12" s="1"/>
  <c r="F38" i="12"/>
  <c r="F39" i="12" s="1"/>
  <c r="F40" i="12" s="1"/>
  <c r="E38" i="12"/>
  <c r="E39" i="12" s="1"/>
  <c r="E40" i="12" s="1"/>
  <c r="D38" i="12"/>
  <c r="D39" i="12" s="1"/>
  <c r="D40" i="12" s="1"/>
  <c r="C38" i="12"/>
  <c r="C39" i="12" s="1"/>
  <c r="C40" i="12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N42" i="11"/>
  <c r="L42" i="11"/>
  <c r="K42" i="11"/>
  <c r="J42" i="11"/>
  <c r="I42" i="11"/>
  <c r="H42" i="11"/>
  <c r="G42" i="11"/>
  <c r="F42" i="11"/>
  <c r="E42" i="11"/>
  <c r="D42" i="11"/>
  <c r="C42" i="11"/>
  <c r="N41" i="11"/>
  <c r="L41" i="11"/>
  <c r="K41" i="11"/>
  <c r="J41" i="11"/>
  <c r="I41" i="11"/>
  <c r="H41" i="11"/>
  <c r="G41" i="11"/>
  <c r="F41" i="11"/>
  <c r="E41" i="11"/>
  <c r="D41" i="11"/>
  <c r="C41" i="11"/>
  <c r="N38" i="11"/>
  <c r="N39" i="11" s="1"/>
  <c r="N40" i="11" s="1"/>
  <c r="M38" i="11"/>
  <c r="M40" i="11" s="1"/>
  <c r="L38" i="11"/>
  <c r="L39" i="11" s="1"/>
  <c r="L40" i="11" s="1"/>
  <c r="K38" i="11"/>
  <c r="K39" i="11" s="1"/>
  <c r="K40" i="11" s="1"/>
  <c r="J38" i="11"/>
  <c r="J39" i="11" s="1"/>
  <c r="J40" i="11" s="1"/>
  <c r="I38" i="11"/>
  <c r="I39" i="11" s="1"/>
  <c r="I40" i="11" s="1"/>
  <c r="H38" i="11"/>
  <c r="H39" i="11" s="1"/>
  <c r="G38" i="11"/>
  <c r="G39" i="11" s="1"/>
  <c r="G40" i="11" s="1"/>
  <c r="F38" i="11"/>
  <c r="F39" i="11" s="1"/>
  <c r="F40" i="11" s="1"/>
  <c r="E38" i="11"/>
  <c r="E39" i="11" s="1"/>
  <c r="E40" i="11" s="1"/>
  <c r="D38" i="11"/>
  <c r="D39" i="11" s="1"/>
  <c r="D40" i="11" s="1"/>
  <c r="C38" i="11"/>
  <c r="C39" i="11" s="1"/>
  <c r="C40" i="11" s="1"/>
  <c r="N48" i="10"/>
  <c r="M48" i="10"/>
  <c r="L48" i="10"/>
  <c r="K48" i="10"/>
  <c r="J48" i="10"/>
  <c r="I48" i="10"/>
  <c r="H48" i="10"/>
  <c r="G48" i="10"/>
  <c r="F48" i="10"/>
  <c r="E48" i="10"/>
  <c r="D48" i="10"/>
  <c r="C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N42" i="10"/>
  <c r="L42" i="10"/>
  <c r="K42" i="10"/>
  <c r="J42" i="10"/>
  <c r="I42" i="10"/>
  <c r="H42" i="10"/>
  <c r="G42" i="10"/>
  <c r="F42" i="10"/>
  <c r="E42" i="10"/>
  <c r="D42" i="10"/>
  <c r="C42" i="10"/>
  <c r="N41" i="10"/>
  <c r="L41" i="10"/>
  <c r="K41" i="10"/>
  <c r="J41" i="10"/>
  <c r="I41" i="10"/>
  <c r="H41" i="10"/>
  <c r="G41" i="10"/>
  <c r="F41" i="10"/>
  <c r="E41" i="10"/>
  <c r="D41" i="10"/>
  <c r="C41" i="10"/>
  <c r="N38" i="10"/>
  <c r="N39" i="10" s="1"/>
  <c r="M38" i="10"/>
  <c r="M40" i="10" s="1"/>
  <c r="L38" i="10"/>
  <c r="L39" i="10" s="1"/>
  <c r="L40" i="10" s="1"/>
  <c r="K38" i="10"/>
  <c r="K39" i="10" s="1"/>
  <c r="K40" i="10" s="1"/>
  <c r="J38" i="10"/>
  <c r="J39" i="10" s="1"/>
  <c r="J40" i="10" s="1"/>
  <c r="I38" i="10"/>
  <c r="I39" i="10" s="1"/>
  <c r="I40" i="10" s="1"/>
  <c r="H38" i="10"/>
  <c r="H39" i="10" s="1"/>
  <c r="H40" i="10" s="1"/>
  <c r="G38" i="10"/>
  <c r="G39" i="10" s="1"/>
  <c r="F38" i="10"/>
  <c r="F39" i="10" s="1"/>
  <c r="F40" i="10" s="1"/>
  <c r="E38" i="10"/>
  <c r="E39" i="10" s="1"/>
  <c r="E40" i="10" s="1"/>
  <c r="D38" i="10"/>
  <c r="D39" i="10" s="1"/>
  <c r="D40" i="10" s="1"/>
  <c r="C38" i="10"/>
  <c r="C39" i="10" s="1"/>
  <c r="C40" i="10" s="1"/>
  <c r="N48" i="9"/>
  <c r="M48" i="9"/>
  <c r="L48" i="9"/>
  <c r="K48" i="9"/>
  <c r="J48" i="9"/>
  <c r="I48" i="9"/>
  <c r="H48" i="9"/>
  <c r="G48" i="9"/>
  <c r="F48" i="9"/>
  <c r="E48" i="9"/>
  <c r="D48" i="9"/>
  <c r="C48" i="9"/>
  <c r="N47" i="9"/>
  <c r="M47" i="9"/>
  <c r="L47" i="9"/>
  <c r="K47" i="9"/>
  <c r="J47" i="9"/>
  <c r="I47" i="9"/>
  <c r="H47" i="9"/>
  <c r="G47" i="9"/>
  <c r="F47" i="9"/>
  <c r="E47" i="9"/>
  <c r="D47" i="9"/>
  <c r="C47" i="9"/>
  <c r="N42" i="9"/>
  <c r="L42" i="9"/>
  <c r="K42" i="9"/>
  <c r="J42" i="9"/>
  <c r="I42" i="9"/>
  <c r="H42" i="9"/>
  <c r="G42" i="9"/>
  <c r="F42" i="9"/>
  <c r="E42" i="9"/>
  <c r="D42" i="9"/>
  <c r="C42" i="9"/>
  <c r="N41" i="9"/>
  <c r="L41" i="9"/>
  <c r="K41" i="9"/>
  <c r="J41" i="9"/>
  <c r="I41" i="9"/>
  <c r="H41" i="9"/>
  <c r="G41" i="9"/>
  <c r="F41" i="9"/>
  <c r="E41" i="9"/>
  <c r="D41" i="9"/>
  <c r="C41" i="9"/>
  <c r="N38" i="9"/>
  <c r="N39" i="9" s="1"/>
  <c r="M38" i="9"/>
  <c r="M40" i="9" s="1"/>
  <c r="L38" i="9"/>
  <c r="L39" i="9" s="1"/>
  <c r="L40" i="9" s="1"/>
  <c r="K38" i="9"/>
  <c r="K39" i="9" s="1"/>
  <c r="K40" i="9" s="1"/>
  <c r="J38" i="9"/>
  <c r="J39" i="9" s="1"/>
  <c r="J40" i="9" s="1"/>
  <c r="I38" i="9"/>
  <c r="I39" i="9" s="1"/>
  <c r="I40" i="9" s="1"/>
  <c r="H38" i="9"/>
  <c r="H39" i="9" s="1"/>
  <c r="H40" i="9" s="1"/>
  <c r="G38" i="9"/>
  <c r="G39" i="9" s="1"/>
  <c r="G40" i="9" s="1"/>
  <c r="F38" i="9"/>
  <c r="F39" i="9" s="1"/>
  <c r="F40" i="9" s="1"/>
  <c r="E38" i="9"/>
  <c r="E39" i="9" s="1"/>
  <c r="E40" i="9" s="1"/>
  <c r="D38" i="9"/>
  <c r="D39" i="9" s="1"/>
  <c r="D40" i="9" s="1"/>
  <c r="C38" i="9"/>
  <c r="C39" i="9" s="1"/>
  <c r="C40" i="9" s="1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M41" i="8"/>
  <c r="L41" i="8"/>
  <c r="K41" i="8"/>
  <c r="J41" i="8"/>
  <c r="I41" i="8"/>
  <c r="H41" i="8"/>
  <c r="G41" i="8"/>
  <c r="F41" i="8"/>
  <c r="E41" i="8"/>
  <c r="D41" i="8"/>
  <c r="C41" i="8"/>
  <c r="N38" i="8"/>
  <c r="N39" i="8" s="1"/>
  <c r="N40" i="8" s="1"/>
  <c r="M38" i="8"/>
  <c r="M39" i="8" s="1"/>
  <c r="M40" i="8" s="1"/>
  <c r="L38" i="8"/>
  <c r="L39" i="8" s="1"/>
  <c r="L40" i="8" s="1"/>
  <c r="K38" i="8"/>
  <c r="K39" i="8" s="1"/>
  <c r="K40" i="8" s="1"/>
  <c r="J38" i="8"/>
  <c r="J39" i="8" s="1"/>
  <c r="J40" i="8" s="1"/>
  <c r="I38" i="8"/>
  <c r="I39" i="8" s="1"/>
  <c r="I40" i="8" s="1"/>
  <c r="H38" i="8"/>
  <c r="H39" i="8" s="1"/>
  <c r="H40" i="8" s="1"/>
  <c r="G38" i="8"/>
  <c r="G39" i="8" s="1"/>
  <c r="G40" i="8" s="1"/>
  <c r="F38" i="8"/>
  <c r="F39" i="8" s="1"/>
  <c r="F40" i="8" s="1"/>
  <c r="E38" i="8"/>
  <c r="E39" i="8" s="1"/>
  <c r="E40" i="8" s="1"/>
  <c r="D38" i="8"/>
  <c r="D39" i="8" s="1"/>
  <c r="D40" i="8" s="1"/>
  <c r="C38" i="8"/>
  <c r="C39" i="8" s="1"/>
  <c r="C40" i="8" s="1"/>
  <c r="N48" i="7"/>
  <c r="M48" i="7"/>
  <c r="L48" i="7"/>
  <c r="K48" i="7"/>
  <c r="J48" i="7"/>
  <c r="I48" i="7"/>
  <c r="H48" i="7"/>
  <c r="G48" i="7"/>
  <c r="F48" i="7"/>
  <c r="E48" i="7"/>
  <c r="D48" i="7"/>
  <c r="C48" i="7"/>
  <c r="N47" i="7"/>
  <c r="M47" i="7"/>
  <c r="L47" i="7"/>
  <c r="K47" i="7"/>
  <c r="J47" i="7"/>
  <c r="I47" i="7"/>
  <c r="H47" i="7"/>
  <c r="G47" i="7"/>
  <c r="F47" i="7"/>
  <c r="E47" i="7"/>
  <c r="D47" i="7"/>
  <c r="C47" i="7"/>
  <c r="N42" i="7"/>
  <c r="M42" i="7"/>
  <c r="L42" i="7"/>
  <c r="K42" i="7"/>
  <c r="J42" i="7"/>
  <c r="I42" i="7"/>
  <c r="H42" i="7"/>
  <c r="G42" i="7"/>
  <c r="F42" i="7"/>
  <c r="E42" i="7"/>
  <c r="D42" i="7"/>
  <c r="C42" i="7"/>
  <c r="N41" i="7"/>
  <c r="M41" i="7"/>
  <c r="L41" i="7"/>
  <c r="K41" i="7"/>
  <c r="J41" i="7"/>
  <c r="I41" i="7"/>
  <c r="H41" i="7"/>
  <c r="G41" i="7"/>
  <c r="F41" i="7"/>
  <c r="E41" i="7"/>
  <c r="D41" i="7"/>
  <c r="C41" i="7"/>
  <c r="N38" i="7"/>
  <c r="N39" i="7" s="1"/>
  <c r="N40" i="7" s="1"/>
  <c r="M38" i="7"/>
  <c r="M39" i="7" s="1"/>
  <c r="M40" i="7" s="1"/>
  <c r="L38" i="7"/>
  <c r="L39" i="7" s="1"/>
  <c r="L40" i="7" s="1"/>
  <c r="K38" i="7"/>
  <c r="K39" i="7" s="1"/>
  <c r="K40" i="7" s="1"/>
  <c r="J38" i="7"/>
  <c r="J39" i="7" s="1"/>
  <c r="J40" i="7" s="1"/>
  <c r="I38" i="7"/>
  <c r="I39" i="7" s="1"/>
  <c r="I40" i="7" s="1"/>
  <c r="H38" i="7"/>
  <c r="H39" i="7" s="1"/>
  <c r="H40" i="7" s="1"/>
  <c r="G38" i="7"/>
  <c r="G39" i="7" s="1"/>
  <c r="G40" i="7" s="1"/>
  <c r="F38" i="7"/>
  <c r="F39" i="7" s="1"/>
  <c r="F40" i="7" s="1"/>
  <c r="E38" i="7"/>
  <c r="E39" i="7" s="1"/>
  <c r="E40" i="7" s="1"/>
  <c r="D38" i="7"/>
  <c r="D39" i="7" s="1"/>
  <c r="D40" i="7" s="1"/>
  <c r="C38" i="7"/>
  <c r="C39" i="7" s="1"/>
  <c r="C40" i="7" s="1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L41" i="6"/>
  <c r="K41" i="6"/>
  <c r="J41" i="6"/>
  <c r="I41" i="6"/>
  <c r="H41" i="6"/>
  <c r="G41" i="6"/>
  <c r="F41" i="6"/>
  <c r="E41" i="6"/>
  <c r="D41" i="6"/>
  <c r="C41" i="6"/>
  <c r="N38" i="6"/>
  <c r="N39" i="6" s="1"/>
  <c r="N40" i="6" s="1"/>
  <c r="M38" i="6"/>
  <c r="M39" i="6" s="1"/>
  <c r="M40" i="6" s="1"/>
  <c r="L38" i="6"/>
  <c r="L39" i="6" s="1"/>
  <c r="L40" i="6" s="1"/>
  <c r="K38" i="6"/>
  <c r="K39" i="6" s="1"/>
  <c r="K40" i="6" s="1"/>
  <c r="J38" i="6"/>
  <c r="J39" i="6" s="1"/>
  <c r="J40" i="6" s="1"/>
  <c r="I38" i="6"/>
  <c r="I39" i="6" s="1"/>
  <c r="I40" i="6" s="1"/>
  <c r="H38" i="6"/>
  <c r="H39" i="6" s="1"/>
  <c r="H40" i="6" s="1"/>
  <c r="G38" i="6"/>
  <c r="G39" i="6" s="1"/>
  <c r="G40" i="6" s="1"/>
  <c r="F38" i="6"/>
  <c r="F39" i="6" s="1"/>
  <c r="F40" i="6" s="1"/>
  <c r="E38" i="6"/>
  <c r="E39" i="6" s="1"/>
  <c r="E40" i="6" s="1"/>
  <c r="D38" i="6"/>
  <c r="D39" i="6" s="1"/>
  <c r="D40" i="6" s="1"/>
  <c r="C38" i="6"/>
  <c r="C39" i="6" s="1"/>
  <c r="C40" i="6" s="1"/>
  <c r="N48" i="5"/>
  <c r="M48" i="5"/>
  <c r="L48" i="5"/>
  <c r="K48" i="5"/>
  <c r="J48" i="5"/>
  <c r="I48" i="5"/>
  <c r="H48" i="5"/>
  <c r="G48" i="5"/>
  <c r="F48" i="5"/>
  <c r="E48" i="5"/>
  <c r="D48" i="5"/>
  <c r="C48" i="5"/>
  <c r="N47" i="5"/>
  <c r="M47" i="5"/>
  <c r="L47" i="5"/>
  <c r="K47" i="5"/>
  <c r="J47" i="5"/>
  <c r="I47" i="5"/>
  <c r="H47" i="5"/>
  <c r="G47" i="5"/>
  <c r="F47" i="5"/>
  <c r="E47" i="5"/>
  <c r="D47" i="5"/>
  <c r="C47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38" i="5"/>
  <c r="N39" i="5" s="1"/>
  <c r="N40" i="5" s="1"/>
  <c r="M38" i="5"/>
  <c r="M39" i="5" s="1"/>
  <c r="M40" i="5" s="1"/>
  <c r="L38" i="5"/>
  <c r="L39" i="5" s="1"/>
  <c r="L40" i="5" s="1"/>
  <c r="K38" i="5"/>
  <c r="K39" i="5" s="1"/>
  <c r="K40" i="5" s="1"/>
  <c r="J38" i="5"/>
  <c r="J39" i="5" s="1"/>
  <c r="J40" i="5" s="1"/>
  <c r="I38" i="5"/>
  <c r="I39" i="5" s="1"/>
  <c r="I40" i="5" s="1"/>
  <c r="H38" i="5"/>
  <c r="H39" i="5" s="1"/>
  <c r="H40" i="5" s="1"/>
  <c r="G38" i="5"/>
  <c r="G39" i="5" s="1"/>
  <c r="G40" i="5" s="1"/>
  <c r="F38" i="5"/>
  <c r="F39" i="5" s="1"/>
  <c r="F40" i="5" s="1"/>
  <c r="E38" i="5"/>
  <c r="E39" i="5" s="1"/>
  <c r="E40" i="5" s="1"/>
  <c r="D38" i="5"/>
  <c r="D39" i="5" s="1"/>
  <c r="D40" i="5" s="1"/>
  <c r="C38" i="5"/>
  <c r="C39" i="5" s="1"/>
  <c r="C40" i="5" s="1"/>
  <c r="N48" i="4"/>
  <c r="M48" i="4"/>
  <c r="L48" i="4"/>
  <c r="K48" i="4"/>
  <c r="J48" i="4"/>
  <c r="I48" i="4"/>
  <c r="H48" i="4"/>
  <c r="G48" i="4"/>
  <c r="F48" i="4"/>
  <c r="E48" i="4"/>
  <c r="D48" i="4"/>
  <c r="C48" i="4"/>
  <c r="N47" i="4"/>
  <c r="M47" i="4"/>
  <c r="L47" i="4"/>
  <c r="K47" i="4"/>
  <c r="J47" i="4"/>
  <c r="I47" i="4"/>
  <c r="H47" i="4"/>
  <c r="G47" i="4"/>
  <c r="F47" i="4"/>
  <c r="E47" i="4"/>
  <c r="D47" i="4"/>
  <c r="C47" i="4"/>
  <c r="N42" i="4"/>
  <c r="M42" i="4"/>
  <c r="L42" i="4"/>
  <c r="K42" i="4"/>
  <c r="J42" i="4"/>
  <c r="I42" i="4"/>
  <c r="H42" i="4"/>
  <c r="G42" i="4"/>
  <c r="F42" i="4"/>
  <c r="E42" i="4"/>
  <c r="D42" i="4"/>
  <c r="C42" i="4"/>
  <c r="N41" i="4"/>
  <c r="M41" i="4"/>
  <c r="L41" i="4"/>
  <c r="K41" i="4"/>
  <c r="J41" i="4"/>
  <c r="I41" i="4"/>
  <c r="H41" i="4"/>
  <c r="G41" i="4"/>
  <c r="F41" i="4"/>
  <c r="E41" i="4"/>
  <c r="D41" i="4"/>
  <c r="C41" i="4"/>
  <c r="N38" i="4"/>
  <c r="N39" i="4" s="1"/>
  <c r="N40" i="4" s="1"/>
  <c r="M38" i="4"/>
  <c r="M39" i="4" s="1"/>
  <c r="M40" i="4" s="1"/>
  <c r="L38" i="4"/>
  <c r="L39" i="4" s="1"/>
  <c r="L40" i="4" s="1"/>
  <c r="K38" i="4"/>
  <c r="K39" i="4" s="1"/>
  <c r="K40" i="4" s="1"/>
  <c r="J38" i="4"/>
  <c r="J39" i="4" s="1"/>
  <c r="J40" i="4" s="1"/>
  <c r="I38" i="4"/>
  <c r="I39" i="4" s="1"/>
  <c r="I40" i="4" s="1"/>
  <c r="H38" i="4"/>
  <c r="H39" i="4" s="1"/>
  <c r="H40" i="4" s="1"/>
  <c r="G38" i="4"/>
  <c r="G39" i="4" s="1"/>
  <c r="G40" i="4" s="1"/>
  <c r="F38" i="4"/>
  <c r="F39" i="4" s="1"/>
  <c r="F40" i="4" s="1"/>
  <c r="E38" i="4"/>
  <c r="E39" i="4" s="1"/>
  <c r="E40" i="4" s="1"/>
  <c r="D38" i="4"/>
  <c r="D39" i="4" s="1"/>
  <c r="D40" i="4" s="1"/>
  <c r="C38" i="4"/>
  <c r="C39" i="4" s="1"/>
  <c r="C40" i="4" s="1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38" i="3"/>
  <c r="N39" i="3" s="1"/>
  <c r="N40" i="3" s="1"/>
  <c r="M38" i="3"/>
  <c r="M39" i="3" s="1"/>
  <c r="M40" i="3" s="1"/>
  <c r="L38" i="3"/>
  <c r="L39" i="3" s="1"/>
  <c r="L40" i="3" s="1"/>
  <c r="K38" i="3"/>
  <c r="K39" i="3" s="1"/>
  <c r="K40" i="3" s="1"/>
  <c r="J38" i="3"/>
  <c r="J39" i="3" s="1"/>
  <c r="J40" i="3" s="1"/>
  <c r="I38" i="3"/>
  <c r="I39" i="3" s="1"/>
  <c r="I40" i="3" s="1"/>
  <c r="H38" i="3"/>
  <c r="H39" i="3" s="1"/>
  <c r="H40" i="3" s="1"/>
  <c r="G38" i="3"/>
  <c r="G39" i="3" s="1"/>
  <c r="G40" i="3" s="1"/>
  <c r="F38" i="3"/>
  <c r="F39" i="3" s="1"/>
  <c r="F40" i="3" s="1"/>
  <c r="E38" i="3"/>
  <c r="E39" i="3" s="1"/>
  <c r="E40" i="3" s="1"/>
  <c r="D38" i="3"/>
  <c r="D39" i="3" s="1"/>
  <c r="D40" i="3" s="1"/>
  <c r="C38" i="3"/>
  <c r="C39" i="3" s="1"/>
  <c r="C40" i="3" s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38" i="1"/>
  <c r="N39" i="1" s="1"/>
  <c r="N40" i="1" s="1"/>
  <c r="M38" i="1"/>
  <c r="M39" i="1" s="1"/>
  <c r="M40" i="1" s="1"/>
  <c r="L38" i="1"/>
  <c r="L39" i="1" s="1"/>
  <c r="L40" i="1" s="1"/>
  <c r="K38" i="1"/>
  <c r="K39" i="1" s="1"/>
  <c r="K40" i="1" s="1"/>
  <c r="J38" i="1"/>
  <c r="J39" i="1" s="1"/>
  <c r="J40" i="1" s="1"/>
  <c r="I38" i="1"/>
  <c r="I39" i="1" s="1"/>
  <c r="I40" i="1" s="1"/>
  <c r="H38" i="1"/>
  <c r="H39" i="1" s="1"/>
  <c r="H40" i="1" s="1"/>
  <c r="G38" i="1"/>
  <c r="G39" i="1" s="1"/>
  <c r="G40" i="1" s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C40" i="1" s="1"/>
  <c r="M40" i="16" l="1"/>
  <c r="M40" i="14"/>
  <c r="H40" i="16"/>
  <c r="H40" i="11"/>
  <c r="G40" i="13"/>
  <c r="G40" i="10"/>
  <c r="N40" i="9"/>
  <c r="N40" i="10"/>
  <c r="C40" i="18"/>
  <c r="C40" i="19"/>
</calcChain>
</file>

<file path=xl/sharedStrings.xml><?xml version="1.0" encoding="utf-8"?>
<sst xmlns="http://schemas.openxmlformats.org/spreadsheetml/2006/main" count="1530" uniqueCount="55">
  <si>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</si>
  <si>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</si>
  <si>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</si>
  <si>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</si>
  <si>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</si>
  <si>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</si>
  <si>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</si>
  <si>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</si>
  <si>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</si>
  <si>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</si>
  <si>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</si>
  <si>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</si>
  <si>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</si>
  <si>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</si>
  <si>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Gson</t>
  </si>
  <si>
    <t>Revenj (size)</t>
  </si>
  <si>
    <t>Service Stack (size)</t>
  </si>
  <si>
    <t>Jil (size)</t>
  </si>
  <si>
    <t>NetJSON (size)</t>
  </si>
  <si>
    <t>Gson (size)</t>
  </si>
  <si>
    <t>NetJSON</t>
  </si>
  <si>
    <t>Jil</t>
  </si>
  <si>
    <t>Instance</t>
  </si>
  <si>
    <t>All</t>
  </si>
  <si>
    <t>Jackson afterburner</t>
  </si>
  <si>
    <t>Alibaba</t>
  </si>
  <si>
    <t>Boon</t>
  </si>
  <si>
    <t>Boon (size)</t>
  </si>
  <si>
    <t>Alibaba (size)</t>
  </si>
  <si>
    <t>DSL-JSON</t>
  </si>
  <si>
    <t>DSL-JSON (size)</t>
  </si>
  <si>
    <t>ProtoBuf (binary reference)</t>
  </si>
  <si>
    <t>Protobuf (binary reference)</t>
  </si>
  <si>
    <t>Kryo (binary reference)</t>
  </si>
  <si>
    <t>ProtoBuf (size)</t>
  </si>
  <si>
    <t>Kryo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</si>
  <si>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</si>
  <si>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</si>
  <si>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</si>
  <si>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</si>
  <si>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</si>
  <si>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</si>
  <si>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</si>
  <si>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</si>
  <si>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</si>
  <si>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</si>
  <si>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</si>
  <si>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</si>
  <si>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</si>
  <si>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</si>
  <si>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</si>
  <si>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</si>
  <si>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</si>
  <si>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</si>
  <si>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 xml:space="preserve">Newtonsoft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</si>
</sst>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233.99999999999994</c:v>
                </c:pt>
                <c:pt idx="1">
                  <c:v>2</c:v>
                </c:pt>
                <c:pt idx="2">
                  <c:v>103</c:v>
                </c:pt>
                <c:pt idx="3">
                  <c:v>108.33333333333337</c:v>
                </c:pt>
                <c:pt idx="4">
                  <c:v>370.66666666666663</c:v>
                </c:pt>
                <c:pt idx="5">
                  <c:v>93.333333333333314</c:v>
                </c:pt>
                <c:pt idx="6">
                  <c:v>85.333333333333329</c:v>
                </c:pt>
                <c:pt idx="7">
                  <c:v>0</c:v>
                </c:pt>
                <c:pt idx="8">
                  <c:v>13</c:v>
                </c:pt>
                <c:pt idx="9">
                  <c:v>60.333333333333336</c:v>
                </c:pt>
                <c:pt idx="10">
                  <c:v>156.33333333333334</c:v>
                </c:pt>
                <c:pt idx="11">
                  <c:v>27.666666666666668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3.6666666666667425</c:v>
                </c:pt>
                <c:pt idx="1">
                  <c:v>16.666666666666686</c:v>
                </c:pt>
                <c:pt idx="2">
                  <c:v>7.6666666666666856</c:v>
                </c:pt>
                <c:pt idx="3">
                  <c:v>37.666666666666629</c:v>
                </c:pt>
                <c:pt idx="4">
                  <c:v>142.33333333333337</c:v>
                </c:pt>
                <c:pt idx="5">
                  <c:v>4.3333333333333144</c:v>
                </c:pt>
                <c:pt idx="6">
                  <c:v>32</c:v>
                </c:pt>
                <c:pt idx="7">
                  <c:v>1</c:v>
                </c:pt>
                <c:pt idx="8">
                  <c:v>17</c:v>
                </c:pt>
                <c:pt idx="9">
                  <c:v>30.999999999999993</c:v>
                </c:pt>
                <c:pt idx="10">
                  <c:v>10.666666666666657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42784"/>
        <c:axId val="163944320"/>
      </c:barChart>
      <c:catAx>
        <c:axId val="163942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944320"/>
        <c:crosses val="autoZero"/>
        <c:auto val="1"/>
        <c:lblAlgn val="ctr"/>
        <c:lblOffset val="100"/>
        <c:noMultiLvlLbl val="0"/>
      </c:catAx>
      <c:valAx>
        <c:axId val="16394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394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1658087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3346889</c:v>
                </c:pt>
                <c:pt idx="7" formatCode="#,##0.0">
                  <c:v>3346472</c:v>
                </c:pt>
                <c:pt idx="8" formatCode="#,##0.0">
                  <c:v>3351895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49472"/>
        <c:axId val="176267648"/>
      </c:barChart>
      <c:catAx>
        <c:axId val="176249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267648"/>
        <c:crosses val="autoZero"/>
        <c:auto val="1"/>
        <c:lblAlgn val="ctr"/>
        <c:lblOffset val="100"/>
        <c:noMultiLvlLbl val="0"/>
      </c:catAx>
      <c:valAx>
        <c:axId val="17626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62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3684.3333333333335</c:v>
                </c:pt>
                <c:pt idx="1">
                  <c:v>1515</c:v>
                </c:pt>
                <c:pt idx="2">
                  <c:v>610</c:v>
                </c:pt>
                <c:pt idx="3">
                  <c:v>3174.333333333333</c:v>
                </c:pt>
                <c:pt idx="4">
                  <c:v>2404</c:v>
                </c:pt>
                <c:pt idx="5">
                  <c:v>1775.6666666666665</c:v>
                </c:pt>
                <c:pt idx="6">
                  <c:v>775.66666666666652</c:v>
                </c:pt>
                <c:pt idx="7">
                  <c:v>470.00000000000006</c:v>
                </c:pt>
                <c:pt idx="8">
                  <c:v>420.00000000000006</c:v>
                </c:pt>
                <c:pt idx="9">
                  <c:v>3230</c:v>
                </c:pt>
                <c:pt idx="10">
                  <c:v>2671.3333333333335</c:v>
                </c:pt>
                <c:pt idx="11">
                  <c:v>3776.3333333333335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5935.9999999999991</c:v>
                </c:pt>
                <c:pt idx="1">
                  <c:v>1268.3333333333335</c:v>
                </c:pt>
                <c:pt idx="2">
                  <c:v>969.33333333333348</c:v>
                </c:pt>
                <c:pt idx="3">
                  <c:v>3329.3333333333335</c:v>
                </c:pt>
                <c:pt idx="4">
                  <c:v>1759.333333333333</c:v>
                </c:pt>
                <c:pt idx="5">
                  <c:v>3447.6666666666665</c:v>
                </c:pt>
                <c:pt idx="6">
                  <c:v>1186.0000000000002</c:v>
                </c:pt>
                <c:pt idx="7">
                  <c:v>421.66666666666669</c:v>
                </c:pt>
                <c:pt idx="8">
                  <c:v>514</c:v>
                </c:pt>
                <c:pt idx="9">
                  <c:v>6634.6666666666661</c:v>
                </c:pt>
                <c:pt idx="10">
                  <c:v>1137.9999999999998</c:v>
                </c:pt>
                <c:pt idx="11">
                  <c:v>1969.6666666666663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0816"/>
        <c:axId val="176932352"/>
      </c:barChart>
      <c:catAx>
        <c:axId val="176930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932352"/>
        <c:crosses val="autoZero"/>
        <c:auto val="1"/>
        <c:lblAlgn val="ctr"/>
        <c:lblOffset val="100"/>
        <c:noMultiLvlLbl val="0"/>
      </c:catAx>
      <c:valAx>
        <c:axId val="17693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93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16941514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36448889</c:v>
                </c:pt>
                <c:pt idx="7" formatCode="#,##0.0">
                  <c:v>36444872</c:v>
                </c:pt>
                <c:pt idx="8" formatCode="#,##0.0">
                  <c:v>33922404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69600"/>
        <c:axId val="176971136"/>
      </c:barChart>
      <c:catAx>
        <c:axId val="17696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971136"/>
        <c:crosses val="autoZero"/>
        <c:auto val="1"/>
        <c:lblAlgn val="ctr"/>
        <c:lblOffset val="100"/>
        <c:noMultiLvlLbl val="0"/>
      </c:catAx>
      <c:valAx>
        <c:axId val="17697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69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36637.333333333336</c:v>
                </c:pt>
                <c:pt idx="1">
                  <c:v>15503.666666666664</c:v>
                </c:pt>
                <c:pt idx="2">
                  <c:v>6171.9999999999991</c:v>
                </c:pt>
                <c:pt idx="3">
                  <c:v>31781.999999999996</c:v>
                </c:pt>
                <c:pt idx="4">
                  <c:v>24612.666666666668</c:v>
                </c:pt>
                <c:pt idx="5">
                  <c:v>17795.333333333336</c:v>
                </c:pt>
                <c:pt idx="6">
                  <c:v>7207</c:v>
                </c:pt>
                <c:pt idx="7">
                  <c:v>4393.6666666666661</c:v>
                </c:pt>
                <c:pt idx="8">
                  <c:v>3515</c:v>
                </c:pt>
                <c:pt idx="9">
                  <c:v>31750.333333333332</c:v>
                </c:pt>
                <c:pt idx="10">
                  <c:v>26472</c:v>
                </c:pt>
                <c:pt idx="11">
                  <c:v>37643.666666666664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59790.666666666672</c:v>
                </c:pt>
                <c:pt idx="1">
                  <c:v>12721.000000000004</c:v>
                </c:pt>
                <c:pt idx="2">
                  <c:v>9295.3333333333321</c:v>
                </c:pt>
                <c:pt idx="3">
                  <c:v>33999.333333333336</c:v>
                </c:pt>
                <c:pt idx="4">
                  <c:v>18035.666666666668</c:v>
                </c:pt>
                <c:pt idx="5">
                  <c:v>33966.666666666664</c:v>
                </c:pt>
                <c:pt idx="6">
                  <c:v>11405.333333333334</c:v>
                </c:pt>
                <c:pt idx="7">
                  <c:v>3950.3333333333335</c:v>
                </c:pt>
                <c:pt idx="8">
                  <c:v>4620.3333333333339</c:v>
                </c:pt>
                <c:pt idx="9">
                  <c:v>63925.333333333336</c:v>
                </c:pt>
                <c:pt idx="10">
                  <c:v>12235</c:v>
                </c:pt>
                <c:pt idx="11">
                  <c:v>20502.333333333336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06624"/>
        <c:axId val="177345280"/>
      </c:barChart>
      <c:catAx>
        <c:axId val="177306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345280"/>
        <c:crosses val="autoZero"/>
        <c:auto val="1"/>
        <c:lblAlgn val="ctr"/>
        <c:lblOffset val="100"/>
        <c:noMultiLvlLbl val="0"/>
      </c:catAx>
      <c:valAx>
        <c:axId val="17734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73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184924181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394468889</c:v>
                </c:pt>
                <c:pt idx="7" formatCode="#,##0.0">
                  <c:v>394428872</c:v>
                </c:pt>
                <c:pt idx="8" formatCode="#,##0.0">
                  <c:v>350301313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6144"/>
        <c:axId val="177367680"/>
      </c:barChart>
      <c:catAx>
        <c:axId val="17736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367680"/>
        <c:crosses val="autoZero"/>
        <c:auto val="1"/>
        <c:lblAlgn val="ctr"/>
        <c:lblOffset val="100"/>
        <c:noMultiLvlLbl val="0"/>
      </c:catAx>
      <c:valAx>
        <c:axId val="17736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73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314</c:v>
                </c:pt>
                <c:pt idx="1">
                  <c:v>101.66666666666667</c:v>
                </c:pt>
                <c:pt idx="2">
                  <c:v>94.333333333333329</c:v>
                </c:pt>
                <c:pt idx="3">
                  <c:v>321</c:v>
                </c:pt>
                <c:pt idx="4">
                  <c:v>227</c:v>
                </c:pt>
                <c:pt idx="5">
                  <c:v>212.66666666666669</c:v>
                </c:pt>
                <c:pt idx="6">
                  <c:v>210.33333333333331</c:v>
                </c:pt>
                <c:pt idx="7">
                  <c:v>140.00000000000003</c:v>
                </c:pt>
                <c:pt idx="8">
                  <c:v>114.33333333333334</c:v>
                </c:pt>
                <c:pt idx="9">
                  <c:v>537</c:v>
                </c:pt>
                <c:pt idx="10">
                  <c:v>688.33333333333337</c:v>
                </c:pt>
                <c:pt idx="11">
                  <c:v>760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820.33333333333337</c:v>
                </c:pt>
                <c:pt idx="1">
                  <c:v>188.33333333333331</c:v>
                </c:pt>
                <c:pt idx="2">
                  <c:v>175.33333333333337</c:v>
                </c:pt>
                <c:pt idx="3">
                  <c:v>622.33333333333337</c:v>
                </c:pt>
                <c:pt idx="4">
                  <c:v>356.33333333333331</c:v>
                </c:pt>
                <c:pt idx="5">
                  <c:v>878</c:v>
                </c:pt>
                <c:pt idx="6">
                  <c:v>390.66666666666674</c:v>
                </c:pt>
                <c:pt idx="7">
                  <c:v>56.6666666666666</c:v>
                </c:pt>
                <c:pt idx="8">
                  <c:v>62.333333333333343</c:v>
                </c:pt>
                <c:pt idx="9">
                  <c:v>0</c:v>
                </c:pt>
                <c:pt idx="10">
                  <c:v>574</c:v>
                </c:pt>
                <c:pt idx="11">
                  <c:v>857.33333333333326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85248"/>
        <c:axId val="176820224"/>
      </c:barChart>
      <c:catAx>
        <c:axId val="17608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820224"/>
        <c:crosses val="autoZero"/>
        <c:auto val="1"/>
        <c:lblAlgn val="ctr"/>
        <c:lblOffset val="100"/>
        <c:noMultiLvlLbl val="0"/>
      </c:catAx>
      <c:valAx>
        <c:axId val="17682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60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4488890</c:v>
                </c:pt>
                <c:pt idx="3">
                  <c:v>11838890</c:v>
                </c:pt>
                <c:pt idx="4" formatCode="#,##0.0">
                  <c:v>11938890</c:v>
                </c:pt>
                <c:pt idx="5" formatCode="#,##0.0">
                  <c:v>11288890</c:v>
                </c:pt>
                <c:pt idx="6" formatCode="#,##0.0">
                  <c:v>10938890</c:v>
                </c:pt>
                <c:pt idx="7" formatCode="#,##0.0">
                  <c:v>10188890</c:v>
                </c:pt>
                <c:pt idx="8" formatCode="#,##0.0">
                  <c:v>3888890</c:v>
                </c:pt>
                <c:pt idx="9" formatCode="#,##0.0">
                  <c:v>8988890</c:v>
                </c:pt>
                <c:pt idx="10" formatCode="#,##0.0">
                  <c:v>10938890</c:v>
                </c:pt>
                <c:pt idx="11" formatCode="#,##0.0">
                  <c:v>10938890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49280"/>
        <c:axId val="176850816"/>
      </c:barChart>
      <c:catAx>
        <c:axId val="176849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850816"/>
        <c:crosses val="autoZero"/>
        <c:auto val="1"/>
        <c:lblAlgn val="ctr"/>
        <c:lblOffset val="100"/>
        <c:noMultiLvlLbl val="0"/>
      </c:catAx>
      <c:valAx>
        <c:axId val="17685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68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3129.6666666666665</c:v>
                </c:pt>
                <c:pt idx="1">
                  <c:v>929.33333333333326</c:v>
                </c:pt>
                <c:pt idx="2">
                  <c:v>888.66666666666663</c:v>
                </c:pt>
                <c:pt idx="3">
                  <c:v>2963</c:v>
                </c:pt>
                <c:pt idx="4">
                  <c:v>2155.3333333333335</c:v>
                </c:pt>
                <c:pt idx="5">
                  <c:v>2089</c:v>
                </c:pt>
                <c:pt idx="6">
                  <c:v>1230</c:v>
                </c:pt>
                <c:pt idx="7">
                  <c:v>543.66666666666674</c:v>
                </c:pt>
                <c:pt idx="8">
                  <c:v>500</c:v>
                </c:pt>
                <c:pt idx="9">
                  <c:v>3670.0000000000005</c:v>
                </c:pt>
                <c:pt idx="10">
                  <c:v>3941.6666666666665</c:v>
                </c:pt>
                <c:pt idx="11">
                  <c:v>5529.6666666666661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7855.0000000000009</c:v>
                </c:pt>
                <c:pt idx="1">
                  <c:v>1803.333333333333</c:v>
                </c:pt>
                <c:pt idx="2">
                  <c:v>1756.0000000000005</c:v>
                </c:pt>
                <c:pt idx="3">
                  <c:v>5906.666666666667</c:v>
                </c:pt>
                <c:pt idx="4">
                  <c:v>3141.9999999999995</c:v>
                </c:pt>
                <c:pt idx="5">
                  <c:v>8522.3333333333321</c:v>
                </c:pt>
                <c:pt idx="6">
                  <c:v>2727.3333333333335</c:v>
                </c:pt>
                <c:pt idx="7">
                  <c:v>459.66666666666652</c:v>
                </c:pt>
                <c:pt idx="8">
                  <c:v>409</c:v>
                </c:pt>
                <c:pt idx="9">
                  <c:v>0</c:v>
                </c:pt>
                <c:pt idx="10">
                  <c:v>4303.3333333333348</c:v>
                </c:pt>
                <c:pt idx="11">
                  <c:v>5066.666666666667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49856"/>
        <c:axId val="177851392"/>
      </c:barChart>
      <c:catAx>
        <c:axId val="177849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851392"/>
        <c:crosses val="autoZero"/>
        <c:auto val="1"/>
        <c:lblAlgn val="ctr"/>
        <c:lblOffset val="100"/>
        <c:noMultiLvlLbl val="0"/>
      </c:catAx>
      <c:valAx>
        <c:axId val="17785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784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45888890</c:v>
                </c:pt>
                <c:pt idx="3">
                  <c:v>119388890</c:v>
                </c:pt>
                <c:pt idx="4" formatCode="#,##0.0">
                  <c:v>120388890</c:v>
                </c:pt>
                <c:pt idx="5" formatCode="#,##0.0">
                  <c:v>113888890</c:v>
                </c:pt>
                <c:pt idx="6" formatCode="#,##0.0">
                  <c:v>110388890</c:v>
                </c:pt>
                <c:pt idx="7" formatCode="#,##0.0">
                  <c:v>102888890</c:v>
                </c:pt>
                <c:pt idx="8" formatCode="#,##0.0">
                  <c:v>39888890</c:v>
                </c:pt>
                <c:pt idx="9" formatCode="#,##0.0">
                  <c:v>90888890</c:v>
                </c:pt>
                <c:pt idx="10" formatCode="#,##0.0">
                  <c:v>110388890</c:v>
                </c:pt>
                <c:pt idx="11" formatCode="#,##0.0">
                  <c:v>110388890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76352"/>
        <c:axId val="177894528"/>
      </c:barChart>
      <c:catAx>
        <c:axId val="177876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894528"/>
        <c:crosses val="autoZero"/>
        <c:auto val="1"/>
        <c:lblAlgn val="ctr"/>
        <c:lblOffset val="100"/>
        <c:noMultiLvlLbl val="0"/>
      </c:catAx>
      <c:valAx>
        <c:axId val="17789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787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31641.666666666664</c:v>
                </c:pt>
                <c:pt idx="1">
                  <c:v>9255.6666666666661</c:v>
                </c:pt>
                <c:pt idx="2">
                  <c:v>8532.6666666666679</c:v>
                </c:pt>
                <c:pt idx="3">
                  <c:v>29590.333333333332</c:v>
                </c:pt>
                <c:pt idx="4">
                  <c:v>20929.666666666668</c:v>
                </c:pt>
                <c:pt idx="5">
                  <c:v>20310.666666666664</c:v>
                </c:pt>
                <c:pt idx="6">
                  <c:v>10752</c:v>
                </c:pt>
                <c:pt idx="7">
                  <c:v>3119.666666666667</c:v>
                </c:pt>
                <c:pt idx="8">
                  <c:v>2916.333333333333</c:v>
                </c:pt>
                <c:pt idx="9">
                  <c:v>36756.666666666672</c:v>
                </c:pt>
                <c:pt idx="10">
                  <c:v>39978.333333333328</c:v>
                </c:pt>
                <c:pt idx="11">
                  <c:v>53794.666666666664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76448</c:v>
                </c:pt>
                <c:pt idx="1">
                  <c:v>17787.000000000007</c:v>
                </c:pt>
                <c:pt idx="2">
                  <c:v>17525.333333333332</c:v>
                </c:pt>
                <c:pt idx="3">
                  <c:v>59270.666666666664</c:v>
                </c:pt>
                <c:pt idx="4">
                  <c:v>31256.333333333339</c:v>
                </c:pt>
                <c:pt idx="5">
                  <c:v>85417.666666666672</c:v>
                </c:pt>
                <c:pt idx="6">
                  <c:v>27167.999999999996</c:v>
                </c:pt>
                <c:pt idx="7">
                  <c:v>4500.3333333333348</c:v>
                </c:pt>
                <c:pt idx="8">
                  <c:v>3914.6666666666679</c:v>
                </c:pt>
                <c:pt idx="9">
                  <c:v>0</c:v>
                </c:pt>
                <c:pt idx="10">
                  <c:v>38705.666666666664</c:v>
                </c:pt>
                <c:pt idx="11">
                  <c:v>48146.333333333336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04992"/>
        <c:axId val="176806528"/>
      </c:barChart>
      <c:catAx>
        <c:axId val="176804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806528"/>
        <c:crosses val="autoZero"/>
        <c:auto val="1"/>
        <c:lblAlgn val="ctr"/>
        <c:lblOffset val="100"/>
        <c:noMultiLvlLbl val="0"/>
      </c:catAx>
      <c:valAx>
        <c:axId val="17680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680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16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40</c:v>
                </c:pt>
                <c:pt idx="7" formatCode="#,##0.0">
                  <c:v>28</c:v>
                </c:pt>
                <c:pt idx="8" formatCode="#,##0.0">
                  <c:v>15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57152"/>
        <c:axId val="175063040"/>
      </c:barChart>
      <c:catAx>
        <c:axId val="175057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063040"/>
        <c:crosses val="autoZero"/>
        <c:auto val="1"/>
        <c:lblAlgn val="ctr"/>
        <c:lblOffset val="100"/>
        <c:noMultiLvlLbl val="0"/>
      </c:catAx>
      <c:valAx>
        <c:axId val="17506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505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468888890</c:v>
                </c:pt>
                <c:pt idx="3">
                  <c:v>1203888890</c:v>
                </c:pt>
                <c:pt idx="4" formatCode="#,##0.0">
                  <c:v>1213888890</c:v>
                </c:pt>
                <c:pt idx="5" formatCode="#,##0.0">
                  <c:v>1148888890</c:v>
                </c:pt>
                <c:pt idx="6" formatCode="#,##0.0">
                  <c:v>1113888890</c:v>
                </c:pt>
                <c:pt idx="7" formatCode="#,##0.0">
                  <c:v>1038888890</c:v>
                </c:pt>
                <c:pt idx="8" formatCode="#,##0.0">
                  <c:v>408888890</c:v>
                </c:pt>
                <c:pt idx="9" formatCode="#,##0.0">
                  <c:v>918888890</c:v>
                </c:pt>
                <c:pt idx="10" formatCode="#,##0.0">
                  <c:v>1113888890</c:v>
                </c:pt>
                <c:pt idx="11" formatCode="#,##0.0">
                  <c:v>1113888890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13824"/>
        <c:axId val="177627904"/>
      </c:barChart>
      <c:catAx>
        <c:axId val="177613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627904"/>
        <c:crosses val="autoZero"/>
        <c:auto val="1"/>
        <c:lblAlgn val="ctr"/>
        <c:lblOffset val="100"/>
        <c:noMultiLvlLbl val="0"/>
      </c:catAx>
      <c:valAx>
        <c:axId val="17762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761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291.33333333333337</c:v>
                </c:pt>
                <c:pt idx="1">
                  <c:v>44.333333333333314</c:v>
                </c:pt>
                <c:pt idx="2">
                  <c:v>161.33333333333331</c:v>
                </c:pt>
                <c:pt idx="3">
                  <c:v>215.66666666666663</c:v>
                </c:pt>
                <c:pt idx="4">
                  <c:v>523.66666666666674</c:v>
                </c:pt>
                <c:pt idx="5">
                  <c:v>160.66666666666663</c:v>
                </c:pt>
                <c:pt idx="6">
                  <c:v>230.33333333333334</c:v>
                </c:pt>
                <c:pt idx="7">
                  <c:v>38.999999999999993</c:v>
                </c:pt>
                <c:pt idx="8">
                  <c:v>74</c:v>
                </c:pt>
                <c:pt idx="9">
                  <c:v>0</c:v>
                </c:pt>
                <c:pt idx="10">
                  <c:v>255.66666666666669</c:v>
                </c:pt>
                <c:pt idx="11">
                  <c:v>286.33333333333331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224</c:v>
                </c:pt>
                <c:pt idx="1">
                  <c:v>92.666666666666572</c:v>
                </c:pt>
                <c:pt idx="2">
                  <c:v>41.999999999999943</c:v>
                </c:pt>
                <c:pt idx="3">
                  <c:v>206.66666666666674</c:v>
                </c:pt>
                <c:pt idx="4">
                  <c:v>297.66666666666657</c:v>
                </c:pt>
                <c:pt idx="5">
                  <c:v>127</c:v>
                </c:pt>
                <c:pt idx="6">
                  <c:v>338.99999999999994</c:v>
                </c:pt>
                <c:pt idx="7">
                  <c:v>78.666666666666657</c:v>
                </c:pt>
                <c:pt idx="8">
                  <c:v>67</c:v>
                </c:pt>
                <c:pt idx="9">
                  <c:v>0</c:v>
                </c:pt>
                <c:pt idx="10">
                  <c:v>328.66666666666669</c:v>
                </c:pt>
                <c:pt idx="11">
                  <c:v>341.00000000000006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28640"/>
        <c:axId val="178530176"/>
      </c:barChart>
      <c:catAx>
        <c:axId val="178528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30176"/>
        <c:crosses val="autoZero"/>
        <c:auto val="1"/>
        <c:lblAlgn val="ctr"/>
        <c:lblOffset val="100"/>
        <c:noMultiLvlLbl val="0"/>
      </c:catAx>
      <c:valAx>
        <c:axId val="178530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5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2234454</c:v>
                </c:pt>
                <c:pt idx="1">
                  <c:v>1802584</c:v>
                </c:pt>
                <c:pt idx="2">
                  <c:v>704000</c:v>
                </c:pt>
                <c:pt idx="3">
                  <c:v>1740659</c:v>
                </c:pt>
                <c:pt idx="4" formatCode="#,##0.0">
                  <c:v>2249785</c:v>
                </c:pt>
                <c:pt idx="5" formatCode="#,##0.0">
                  <c:v>1785250.6666666667</c:v>
                </c:pt>
                <c:pt idx="6" formatCode="#,##0.0">
                  <c:v>1763995</c:v>
                </c:pt>
                <c:pt idx="7" formatCode="#,##0.0">
                  <c:v>1802584</c:v>
                </c:pt>
                <c:pt idx="8" formatCode="#,##0.0">
                  <c:v>654855</c:v>
                </c:pt>
                <c:pt idx="9" formatCode="#,##0.0">
                  <c:v>0</c:v>
                </c:pt>
                <c:pt idx="10" formatCode="#,##0.0">
                  <c:v>1763995</c:v>
                </c:pt>
                <c:pt idx="11" formatCode="#,##0.0">
                  <c:v>1763995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71520"/>
        <c:axId val="178577408"/>
      </c:barChart>
      <c:catAx>
        <c:axId val="178571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577408"/>
        <c:crosses val="autoZero"/>
        <c:auto val="1"/>
        <c:lblAlgn val="ctr"/>
        <c:lblOffset val="100"/>
        <c:noMultiLvlLbl val="0"/>
      </c:catAx>
      <c:valAx>
        <c:axId val="17857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85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1125.6666666666665</c:v>
                </c:pt>
                <c:pt idx="1">
                  <c:v>275</c:v>
                </c:pt>
                <c:pt idx="2">
                  <c:v>270.66666666666663</c:v>
                </c:pt>
                <c:pt idx="3">
                  <c:v>738.00000000000011</c:v>
                </c:pt>
                <c:pt idx="4">
                  <c:v>1055</c:v>
                </c:pt>
                <c:pt idx="5">
                  <c:v>438.99999999999989</c:v>
                </c:pt>
                <c:pt idx="6">
                  <c:v>520.66666666666663</c:v>
                </c:pt>
                <c:pt idx="7">
                  <c:v>131.33333333333331</c:v>
                </c:pt>
                <c:pt idx="8">
                  <c:v>151</c:v>
                </c:pt>
                <c:pt idx="9">
                  <c:v>0</c:v>
                </c:pt>
                <c:pt idx="10">
                  <c:v>806</c:v>
                </c:pt>
                <c:pt idx="11">
                  <c:v>1232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1325.3333333333335</c:v>
                </c:pt>
                <c:pt idx="1">
                  <c:v>569.66666666666663</c:v>
                </c:pt>
                <c:pt idx="2">
                  <c:v>215.66666666666674</c:v>
                </c:pt>
                <c:pt idx="3">
                  <c:v>1123.666666666667</c:v>
                </c:pt>
                <c:pt idx="4">
                  <c:v>900.66666666666663</c:v>
                </c:pt>
                <c:pt idx="5">
                  <c:v>1075</c:v>
                </c:pt>
                <c:pt idx="6">
                  <c:v>1009.6666666666666</c:v>
                </c:pt>
                <c:pt idx="7">
                  <c:v>259.33333333333337</c:v>
                </c:pt>
                <c:pt idx="8">
                  <c:v>169.99999999999997</c:v>
                </c:pt>
                <c:pt idx="9">
                  <c:v>0</c:v>
                </c:pt>
                <c:pt idx="10">
                  <c:v>1265.6666666666667</c:v>
                </c:pt>
                <c:pt idx="11">
                  <c:v>1223.6666666666667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8112"/>
        <c:axId val="178139904"/>
      </c:barChart>
      <c:catAx>
        <c:axId val="178138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139904"/>
        <c:crosses val="autoZero"/>
        <c:auto val="1"/>
        <c:lblAlgn val="ctr"/>
        <c:lblOffset val="100"/>
        <c:noMultiLvlLbl val="0"/>
      </c:catAx>
      <c:valAx>
        <c:axId val="17813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1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23246001</c:v>
                </c:pt>
                <c:pt idx="1">
                  <c:v>18939843</c:v>
                </c:pt>
                <c:pt idx="2">
                  <c:v>7506385</c:v>
                </c:pt>
                <c:pt idx="3">
                  <c:v>18307918</c:v>
                </c:pt>
                <c:pt idx="4" formatCode="#,##0.0">
                  <c:v>23399332</c:v>
                </c:pt>
                <c:pt idx="5" formatCode="#,##0.0">
                  <c:v>18799843</c:v>
                </c:pt>
                <c:pt idx="6" formatCode="#,##0.0">
                  <c:v>18541254</c:v>
                </c:pt>
                <c:pt idx="7" formatCode="#,##0.0">
                  <c:v>18939843</c:v>
                </c:pt>
                <c:pt idx="8" formatCode="#,##0.0">
                  <c:v>7091834</c:v>
                </c:pt>
                <c:pt idx="9" formatCode="#,##0.0">
                  <c:v>0</c:v>
                </c:pt>
                <c:pt idx="10" formatCode="#,##0.0">
                  <c:v>18541254</c:v>
                </c:pt>
                <c:pt idx="11" formatCode="#,##0.0">
                  <c:v>18541254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64864"/>
        <c:axId val="178166400"/>
      </c:barChart>
      <c:catAx>
        <c:axId val="17816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166400"/>
        <c:crosses val="autoZero"/>
        <c:auto val="1"/>
        <c:lblAlgn val="ctr"/>
        <c:lblOffset val="100"/>
        <c:noMultiLvlLbl val="0"/>
      </c:catAx>
      <c:valAx>
        <c:axId val="17816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816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8988</c:v>
                </c:pt>
                <c:pt idx="1">
                  <c:v>2632.6666666666665</c:v>
                </c:pt>
                <c:pt idx="2">
                  <c:v>1328.6666666666665</c:v>
                </c:pt>
                <c:pt idx="3">
                  <c:v>6273.3333333333339</c:v>
                </c:pt>
                <c:pt idx="4">
                  <c:v>6462</c:v>
                </c:pt>
                <c:pt idx="5">
                  <c:v>3304.9999999999995</c:v>
                </c:pt>
                <c:pt idx="6">
                  <c:v>2035.3333333333333</c:v>
                </c:pt>
                <c:pt idx="7">
                  <c:v>724</c:v>
                </c:pt>
                <c:pt idx="8">
                  <c:v>681.33333333333337</c:v>
                </c:pt>
                <c:pt idx="9">
                  <c:v>0</c:v>
                </c:pt>
                <c:pt idx="10">
                  <c:v>4985</c:v>
                </c:pt>
                <c:pt idx="11">
                  <c:v>9422.6666666666661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13219.000000000002</c:v>
                </c:pt>
                <c:pt idx="1">
                  <c:v>5429</c:v>
                </c:pt>
                <c:pt idx="2">
                  <c:v>2037.0000000000005</c:v>
                </c:pt>
                <c:pt idx="3">
                  <c:v>10542.999999999998</c:v>
                </c:pt>
                <c:pt idx="4">
                  <c:v>7116.3333333333321</c:v>
                </c:pt>
                <c:pt idx="5">
                  <c:v>10630.333333333334</c:v>
                </c:pt>
                <c:pt idx="6">
                  <c:v>6741</c:v>
                </c:pt>
                <c:pt idx="7">
                  <c:v>1207.6666666666667</c:v>
                </c:pt>
                <c:pt idx="8">
                  <c:v>833.33333333333337</c:v>
                </c:pt>
                <c:pt idx="9">
                  <c:v>0</c:v>
                </c:pt>
                <c:pt idx="10">
                  <c:v>7436.666666666667</c:v>
                </c:pt>
                <c:pt idx="11">
                  <c:v>8611.6666666666661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50752"/>
        <c:axId val="179060736"/>
      </c:barChart>
      <c:catAx>
        <c:axId val="17905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060736"/>
        <c:crosses val="autoZero"/>
        <c:auto val="1"/>
        <c:lblAlgn val="ctr"/>
        <c:lblOffset val="100"/>
        <c:noMultiLvlLbl val="0"/>
      </c:catAx>
      <c:valAx>
        <c:axId val="17906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90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241190228.66666666</c:v>
                </c:pt>
                <c:pt idx="1">
                  <c:v>198474556</c:v>
                </c:pt>
                <c:pt idx="2">
                  <c:v>79244720</c:v>
                </c:pt>
                <c:pt idx="3">
                  <c:v>192142631</c:v>
                </c:pt>
                <c:pt idx="4" formatCode="#,##0.0">
                  <c:v>243056893</c:v>
                </c:pt>
                <c:pt idx="5" formatCode="#,##0.0">
                  <c:v>196407889.33333334</c:v>
                </c:pt>
                <c:pt idx="6" formatCode="#,##0.0">
                  <c:v>194475967</c:v>
                </c:pt>
                <c:pt idx="7" formatCode="#,##0.0">
                  <c:v>198474556</c:v>
                </c:pt>
                <c:pt idx="8" formatCode="#,##0.0">
                  <c:v>74036454</c:v>
                </c:pt>
                <c:pt idx="9" formatCode="#,##0.0">
                  <c:v>0</c:v>
                </c:pt>
                <c:pt idx="10" formatCode="#,##0.0">
                  <c:v>194475967</c:v>
                </c:pt>
                <c:pt idx="11" formatCode="#,##0.0">
                  <c:v>194475967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81600"/>
        <c:axId val="179083136"/>
      </c:barChart>
      <c:catAx>
        <c:axId val="179081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083136"/>
        <c:crosses val="autoZero"/>
        <c:auto val="1"/>
        <c:lblAlgn val="ctr"/>
        <c:lblOffset val="100"/>
        <c:noMultiLvlLbl val="0"/>
      </c:catAx>
      <c:valAx>
        <c:axId val="17908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0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2415</c:v>
                </c:pt>
                <c:pt idx="1">
                  <c:v>524.00000000000011</c:v>
                </c:pt>
                <c:pt idx="2">
                  <c:v>365.99999999999989</c:v>
                </c:pt>
                <c:pt idx="3">
                  <c:v>1948.6666666666665</c:v>
                </c:pt>
                <c:pt idx="4">
                  <c:v>1825.333333333333</c:v>
                </c:pt>
                <c:pt idx="5">
                  <c:v>1093.3333333333333</c:v>
                </c:pt>
                <c:pt idx="6">
                  <c:v>897.99999999999989</c:v>
                </c:pt>
                <c:pt idx="7">
                  <c:v>526.33333333333326</c:v>
                </c:pt>
                <c:pt idx="8">
                  <c:v>291</c:v>
                </c:pt>
                <c:pt idx="9">
                  <c:v>0</c:v>
                </c:pt>
                <c:pt idx="10">
                  <c:v>954.33333333333337</c:v>
                </c:pt>
                <c:pt idx="11">
                  <c:v>2772.6666666666665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2912.3333333333335</c:v>
                </c:pt>
                <c:pt idx="1">
                  <c:v>1114.666666666667</c:v>
                </c:pt>
                <c:pt idx="2">
                  <c:v>627.66666666666663</c:v>
                </c:pt>
                <c:pt idx="3">
                  <c:v>3655.6666666666661</c:v>
                </c:pt>
                <c:pt idx="4">
                  <c:v>1623.3333333333335</c:v>
                </c:pt>
                <c:pt idx="5">
                  <c:v>3502.666666666667</c:v>
                </c:pt>
                <c:pt idx="6">
                  <c:v>1690.6666666666667</c:v>
                </c:pt>
                <c:pt idx="7">
                  <c:v>232.3333333333334</c:v>
                </c:pt>
                <c:pt idx="8">
                  <c:v>302</c:v>
                </c:pt>
                <c:pt idx="9">
                  <c:v>0</c:v>
                </c:pt>
                <c:pt idx="10">
                  <c:v>2171.6666666666665</c:v>
                </c:pt>
                <c:pt idx="11">
                  <c:v>2318.333333333333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35712"/>
        <c:axId val="179637248"/>
      </c:barChart>
      <c:catAx>
        <c:axId val="179635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637248"/>
        <c:crosses val="autoZero"/>
        <c:auto val="1"/>
        <c:lblAlgn val="ctr"/>
        <c:lblOffset val="100"/>
        <c:noMultiLvlLbl val="0"/>
      </c:catAx>
      <c:valAx>
        <c:axId val="17963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96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84221352</c:v>
                </c:pt>
                <c:pt idx="1">
                  <c:v>73494967</c:v>
                </c:pt>
                <c:pt idx="2">
                  <c:v>35094918</c:v>
                </c:pt>
                <c:pt idx="3">
                  <c:v>79509317</c:v>
                </c:pt>
                <c:pt idx="4" formatCode="#,##0.0">
                  <c:v>84298017</c:v>
                </c:pt>
                <c:pt idx="5" formatCode="#,##0.0">
                  <c:v>78878921.666666672</c:v>
                </c:pt>
                <c:pt idx="6" formatCode="#,##0.0">
                  <c:v>73117617</c:v>
                </c:pt>
                <c:pt idx="7" formatCode="#,##0.0">
                  <c:v>73494967</c:v>
                </c:pt>
                <c:pt idx="8" formatCode="#,##0.0">
                  <c:v>31184505</c:v>
                </c:pt>
                <c:pt idx="9" formatCode="#,##0.0">
                  <c:v>0</c:v>
                </c:pt>
                <c:pt idx="10" formatCode="#,##0.0">
                  <c:v>73117617</c:v>
                </c:pt>
                <c:pt idx="11" formatCode="#,##0.0">
                  <c:v>73117617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9920"/>
        <c:axId val="179668096"/>
      </c:barChart>
      <c:catAx>
        <c:axId val="179649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668096"/>
        <c:crosses val="autoZero"/>
        <c:auto val="1"/>
        <c:lblAlgn val="ctr"/>
        <c:lblOffset val="100"/>
        <c:noMultiLvlLbl val="0"/>
      </c:catAx>
      <c:valAx>
        <c:axId val="17966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6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24135.666666666664</c:v>
                </c:pt>
                <c:pt idx="1">
                  <c:v>5083.3333333333321</c:v>
                </c:pt>
                <c:pt idx="2">
                  <c:v>3415</c:v>
                </c:pt>
                <c:pt idx="3">
                  <c:v>19105.666666666668</c:v>
                </c:pt>
                <c:pt idx="4">
                  <c:v>17655</c:v>
                </c:pt>
                <c:pt idx="5">
                  <c:v>10572</c:v>
                </c:pt>
                <c:pt idx="6">
                  <c:v>6999.9999999999991</c:v>
                </c:pt>
                <c:pt idx="7">
                  <c:v>2291</c:v>
                </c:pt>
                <c:pt idx="8">
                  <c:v>1869.6666666666667</c:v>
                </c:pt>
                <c:pt idx="9">
                  <c:v>0</c:v>
                </c:pt>
                <c:pt idx="10">
                  <c:v>7836.333333333333</c:v>
                </c:pt>
                <c:pt idx="11">
                  <c:v>24288.333333333332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28572.666666666664</c:v>
                </c:pt>
                <c:pt idx="1">
                  <c:v>10661.333333333334</c:v>
                </c:pt>
                <c:pt idx="2">
                  <c:v>6141.9999999999982</c:v>
                </c:pt>
                <c:pt idx="3">
                  <c:v>37015.666666666664</c:v>
                </c:pt>
                <c:pt idx="4">
                  <c:v>15430.999999999998</c:v>
                </c:pt>
                <c:pt idx="5">
                  <c:v>34569</c:v>
                </c:pt>
                <c:pt idx="6">
                  <c:v>15830.666666666666</c:v>
                </c:pt>
                <c:pt idx="7">
                  <c:v>2728</c:v>
                </c:pt>
                <c:pt idx="8">
                  <c:v>2393</c:v>
                </c:pt>
                <c:pt idx="9">
                  <c:v>0</c:v>
                </c:pt>
                <c:pt idx="10">
                  <c:v>14134.000000000002</c:v>
                </c:pt>
                <c:pt idx="11">
                  <c:v>19640.333333333336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35648"/>
        <c:axId val="179837184"/>
      </c:barChart>
      <c:catAx>
        <c:axId val="179835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837184"/>
        <c:crosses val="autoZero"/>
        <c:auto val="1"/>
        <c:lblAlgn val="ctr"/>
        <c:lblOffset val="100"/>
        <c:noMultiLvlLbl val="0"/>
      </c:catAx>
      <c:valAx>
        <c:axId val="17983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98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351.99999999999994</c:v>
                </c:pt>
                <c:pt idx="1">
                  <c:v>59.666666666666686</c:v>
                </c:pt>
                <c:pt idx="2">
                  <c:v>151.66666666666669</c:v>
                </c:pt>
                <c:pt idx="3">
                  <c:v>232.00000000000006</c:v>
                </c:pt>
                <c:pt idx="4">
                  <c:v>508.66666666666669</c:v>
                </c:pt>
                <c:pt idx="5">
                  <c:v>170.33333333333331</c:v>
                </c:pt>
                <c:pt idx="6">
                  <c:v>224.00000000000003</c:v>
                </c:pt>
                <c:pt idx="7">
                  <c:v>34</c:v>
                </c:pt>
                <c:pt idx="8">
                  <c:v>54</c:v>
                </c:pt>
                <c:pt idx="9">
                  <c:v>549</c:v>
                </c:pt>
                <c:pt idx="10">
                  <c:v>541.66666666666663</c:v>
                </c:pt>
                <c:pt idx="11">
                  <c:v>563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474.66666666666657</c:v>
                </c:pt>
                <c:pt idx="1">
                  <c:v>126.33333333333331</c:v>
                </c:pt>
                <c:pt idx="2">
                  <c:v>108</c:v>
                </c:pt>
                <c:pt idx="3">
                  <c:v>266.99999999999994</c:v>
                </c:pt>
                <c:pt idx="4">
                  <c:v>300.66666666666657</c:v>
                </c:pt>
                <c:pt idx="5">
                  <c:v>279.33333333333343</c:v>
                </c:pt>
                <c:pt idx="6">
                  <c:v>257.33333333333331</c:v>
                </c:pt>
                <c:pt idx="7">
                  <c:v>82</c:v>
                </c:pt>
                <c:pt idx="8">
                  <c:v>65.333333333333343</c:v>
                </c:pt>
                <c:pt idx="9">
                  <c:v>775.66666666666663</c:v>
                </c:pt>
                <c:pt idx="10">
                  <c:v>148</c:v>
                </c:pt>
                <c:pt idx="11">
                  <c:v>243.66666666666671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77792"/>
        <c:axId val="175416448"/>
      </c:barChart>
      <c:catAx>
        <c:axId val="175377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416448"/>
        <c:crosses val="autoZero"/>
        <c:auto val="1"/>
        <c:lblAlgn val="ctr"/>
        <c:lblOffset val="100"/>
        <c:noMultiLvlLbl val="0"/>
      </c:catAx>
      <c:valAx>
        <c:axId val="17541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53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852604452</c:v>
                </c:pt>
                <c:pt idx="1">
                  <c:v>745341367</c:v>
                </c:pt>
                <c:pt idx="2">
                  <c:v>361164198</c:v>
                </c:pt>
                <c:pt idx="3">
                  <c:v>805544996</c:v>
                </c:pt>
                <c:pt idx="4" formatCode="#,##0.0">
                  <c:v>853371117</c:v>
                </c:pt>
                <c:pt idx="5" formatCode="#,##0.0">
                  <c:v>799180508.33333337</c:v>
                </c:pt>
                <c:pt idx="6" formatCode="#,##0.0">
                  <c:v>741567117</c:v>
                </c:pt>
                <c:pt idx="7" formatCode="#,##0.0">
                  <c:v>745341367</c:v>
                </c:pt>
                <c:pt idx="8" formatCode="#,##0.0">
                  <c:v>322172245</c:v>
                </c:pt>
                <c:pt idx="9" formatCode="#,##0.0">
                  <c:v>0</c:v>
                </c:pt>
                <c:pt idx="10" formatCode="#,##0.0">
                  <c:v>741567117</c:v>
                </c:pt>
                <c:pt idx="11" formatCode="#,##0.0">
                  <c:v>741567117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62144"/>
        <c:axId val="179863936"/>
      </c:barChart>
      <c:catAx>
        <c:axId val="17986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863936"/>
        <c:crosses val="autoZero"/>
        <c:auto val="1"/>
        <c:lblAlgn val="ctr"/>
        <c:lblOffset val="100"/>
        <c:noMultiLvlLbl val="0"/>
      </c:catAx>
      <c:valAx>
        <c:axId val="17986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86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238534.66666666669</c:v>
                </c:pt>
                <c:pt idx="1">
                  <c:v>52655.999999999985</c:v>
                </c:pt>
                <c:pt idx="2">
                  <c:v>35313</c:v>
                </c:pt>
                <c:pt idx="3">
                  <c:v>191541.66666666663</c:v>
                </c:pt>
                <c:pt idx="4">
                  <c:v>177506.66666666669</c:v>
                </c:pt>
                <c:pt idx="5">
                  <c:v>105545</c:v>
                </c:pt>
                <c:pt idx="6">
                  <c:v>68365</c:v>
                </c:pt>
                <c:pt idx="7">
                  <c:v>21977.666666666664</c:v>
                </c:pt>
                <c:pt idx="8">
                  <c:v>18312</c:v>
                </c:pt>
                <c:pt idx="9">
                  <c:v>0</c:v>
                </c:pt>
                <c:pt idx="10">
                  <c:v>74359.333333333343</c:v>
                </c:pt>
                <c:pt idx="11">
                  <c:v>242300.66666666669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291349</c:v>
                </c:pt>
                <c:pt idx="1">
                  <c:v>107601.6666666667</c:v>
                </c:pt>
                <c:pt idx="2">
                  <c:v>60825.333333333328</c:v>
                </c:pt>
                <c:pt idx="3">
                  <c:v>370941.33333333331</c:v>
                </c:pt>
                <c:pt idx="4">
                  <c:v>156733</c:v>
                </c:pt>
                <c:pt idx="5">
                  <c:v>346493.66666666663</c:v>
                </c:pt>
                <c:pt idx="6">
                  <c:v>157059.66666666666</c:v>
                </c:pt>
                <c:pt idx="7">
                  <c:v>27335.666666666672</c:v>
                </c:pt>
                <c:pt idx="8">
                  <c:v>23429.666666666664</c:v>
                </c:pt>
                <c:pt idx="9">
                  <c:v>0</c:v>
                </c:pt>
                <c:pt idx="10">
                  <c:v>143112.99999999997</c:v>
                </c:pt>
                <c:pt idx="11">
                  <c:v>196712.66666666666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40320"/>
        <c:axId val="178841856"/>
      </c:barChart>
      <c:catAx>
        <c:axId val="178840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841856"/>
        <c:crosses val="autoZero"/>
        <c:auto val="1"/>
        <c:lblAlgn val="ctr"/>
        <c:lblOffset val="100"/>
        <c:noMultiLvlLbl val="0"/>
      </c:catAx>
      <c:valAx>
        <c:axId val="17884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8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8624258785.333334</c:v>
                </c:pt>
                <c:pt idx="1">
                  <c:v>7557405367</c:v>
                </c:pt>
                <c:pt idx="2">
                  <c:v>3713376198</c:v>
                </c:pt>
                <c:pt idx="3">
                  <c:v>8204343029.333333</c:v>
                </c:pt>
                <c:pt idx="4" formatCode="#,##0.0">
                  <c:v>8637702117</c:v>
                </c:pt>
                <c:pt idx="5" formatCode="#,##0.0">
                  <c:v>8095734041.666667</c:v>
                </c:pt>
                <c:pt idx="6" formatCode="#,##0.0">
                  <c:v>7519662117</c:v>
                </c:pt>
                <c:pt idx="7" formatCode="#,##0.0">
                  <c:v>7557405367</c:v>
                </c:pt>
                <c:pt idx="8" formatCode="#,##0.0">
                  <c:v>3323159245</c:v>
                </c:pt>
                <c:pt idx="9" formatCode="#,##0.0">
                  <c:v>0</c:v>
                </c:pt>
                <c:pt idx="10" formatCode="#,##0.0">
                  <c:v>7519662117</c:v>
                </c:pt>
                <c:pt idx="11" formatCode="#,##0.0">
                  <c:v>7519662117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58624"/>
        <c:axId val="178868608"/>
      </c:barChart>
      <c:catAx>
        <c:axId val="178858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868608"/>
        <c:crosses val="autoZero"/>
        <c:auto val="1"/>
        <c:lblAlgn val="ctr"/>
        <c:lblOffset val="100"/>
        <c:noMultiLvlLbl val="0"/>
      </c:catAx>
      <c:valAx>
        <c:axId val="17886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88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1653.333333333333</c:v>
                </c:pt>
                <c:pt idx="1">
                  <c:v>345.66666666666663</c:v>
                </c:pt>
                <c:pt idx="2">
                  <c:v>459.33333333333326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741.66666666666674</c:v>
                </c:pt>
                <c:pt idx="7">
                  <c:v>236.66666666666669</c:v>
                </c:pt>
                <c:pt idx="8">
                  <c:v>229.99999999999994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2367.6666666666665</c:v>
                </c:pt>
                <c:pt idx="1">
                  <c:v>1034.6666666666665</c:v>
                </c:pt>
                <c:pt idx="2">
                  <c:v>823.00000000000023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1666.3333333333333</c:v>
                </c:pt>
                <c:pt idx="7">
                  <c:v>212.33333333333331</c:v>
                </c:pt>
                <c:pt idx="8">
                  <c:v>177.33333333333337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09024"/>
        <c:axId val="180610560"/>
      </c:barChart>
      <c:catAx>
        <c:axId val="180609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610560"/>
        <c:crosses val="autoZero"/>
        <c:auto val="1"/>
        <c:lblAlgn val="ctr"/>
        <c:lblOffset val="100"/>
        <c:noMultiLvlLbl val="0"/>
      </c:catAx>
      <c:valAx>
        <c:axId val="18061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06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62705819</c:v>
                </c:pt>
                <c:pt idx="1">
                  <c:v>49485608</c:v>
                </c:pt>
                <c:pt idx="2">
                  <c:v>22929726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48174191</c:v>
                </c:pt>
                <c:pt idx="7" formatCode="#,##0.0">
                  <c:v>49485608</c:v>
                </c:pt>
                <c:pt idx="8" formatCode="#,##0.0">
                  <c:v>20305710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47808"/>
        <c:axId val="180649344"/>
      </c:barChart>
      <c:catAx>
        <c:axId val="180647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649344"/>
        <c:crosses val="autoZero"/>
        <c:auto val="1"/>
        <c:lblAlgn val="ctr"/>
        <c:lblOffset val="100"/>
        <c:noMultiLvlLbl val="0"/>
      </c:catAx>
      <c:valAx>
        <c:axId val="18064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06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135159</c:v>
                </c:pt>
                <c:pt idx="1">
                  <c:v>46789.999999999985</c:v>
                </c:pt>
                <c:pt idx="2">
                  <c:v>37941.333333333343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48269</c:v>
                </c:pt>
                <c:pt idx="7">
                  <c:v>25971.333333333336</c:v>
                </c:pt>
                <c:pt idx="8">
                  <c:v>21983.333333333336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247793.66666666669</c:v>
                </c:pt>
                <c:pt idx="1">
                  <c:v>146491</c:v>
                </c:pt>
                <c:pt idx="2">
                  <c:v>115160.99999999999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108834.33333333333</c:v>
                </c:pt>
                <c:pt idx="7">
                  <c:v>22921.333333333328</c:v>
                </c:pt>
                <c:pt idx="8">
                  <c:v>17352.999999999996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73408"/>
        <c:axId val="179495680"/>
      </c:barChart>
      <c:catAx>
        <c:axId val="179473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495680"/>
        <c:crosses val="autoZero"/>
        <c:auto val="1"/>
        <c:lblAlgn val="ctr"/>
        <c:lblOffset val="100"/>
        <c:noMultiLvlLbl val="0"/>
      </c:catAx>
      <c:valAx>
        <c:axId val="17949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947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9822874416</c:v>
                </c:pt>
                <c:pt idx="1">
                  <c:v>9490545095</c:v>
                </c:pt>
                <c:pt idx="2">
                  <c:v>7473413088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9388368563</c:v>
                </c:pt>
                <c:pt idx="7" formatCode="#,##0.0">
                  <c:v>9490545095</c:v>
                </c:pt>
                <c:pt idx="8" formatCode="#,##0.0">
                  <c:v>7260003309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16544"/>
        <c:axId val="179518080"/>
      </c:barChart>
      <c:catAx>
        <c:axId val="179516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518080"/>
        <c:crosses val="autoZero"/>
        <c:auto val="1"/>
        <c:lblAlgn val="ctr"/>
        <c:lblOffset val="100"/>
        <c:noMultiLvlLbl val="0"/>
      </c:catAx>
      <c:valAx>
        <c:axId val="179518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95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2372376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4777780</c:v>
                </c:pt>
                <c:pt idx="7" formatCode="#,##0.0">
                  <c:v>4777768</c:v>
                </c:pt>
                <c:pt idx="8" formatCode="#,##0.0">
                  <c:v>2080634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38720"/>
        <c:axId val="175840256"/>
      </c:barChart>
      <c:catAx>
        <c:axId val="175838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840256"/>
        <c:crosses val="autoZero"/>
        <c:auto val="1"/>
        <c:lblAlgn val="ctr"/>
        <c:lblOffset val="100"/>
        <c:noMultiLvlLbl val="0"/>
      </c:catAx>
      <c:valAx>
        <c:axId val="17584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58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2021.3333333333335</c:v>
                </c:pt>
                <c:pt idx="1">
                  <c:v>544</c:v>
                </c:pt>
                <c:pt idx="2">
                  <c:v>576.66666666666663</c:v>
                </c:pt>
                <c:pt idx="3">
                  <c:v>1373.6666666666665</c:v>
                </c:pt>
                <c:pt idx="4">
                  <c:v>1767.666666666667</c:v>
                </c:pt>
                <c:pt idx="5">
                  <c:v>863.66666666666663</c:v>
                </c:pt>
                <c:pt idx="6">
                  <c:v>531.66666666666663</c:v>
                </c:pt>
                <c:pt idx="7">
                  <c:v>162.33333333333337</c:v>
                </c:pt>
                <c:pt idx="8">
                  <c:v>177.66666666666669</c:v>
                </c:pt>
                <c:pt idx="9">
                  <c:v>3099.333333333333</c:v>
                </c:pt>
                <c:pt idx="10">
                  <c:v>2868.3333333333335</c:v>
                </c:pt>
                <c:pt idx="11">
                  <c:v>3660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4110.333333333333</c:v>
                </c:pt>
                <c:pt idx="1">
                  <c:v>1119.3333333333335</c:v>
                </c:pt>
                <c:pt idx="2">
                  <c:v>1024.3333333333335</c:v>
                </c:pt>
                <c:pt idx="3">
                  <c:v>2370.0000000000005</c:v>
                </c:pt>
                <c:pt idx="4">
                  <c:v>1713.6666666666665</c:v>
                </c:pt>
                <c:pt idx="5">
                  <c:v>2773</c:v>
                </c:pt>
                <c:pt idx="6">
                  <c:v>895.33333333333326</c:v>
                </c:pt>
                <c:pt idx="7">
                  <c:v>231.33333333333331</c:v>
                </c:pt>
                <c:pt idx="8">
                  <c:v>191.66666666666663</c:v>
                </c:pt>
                <c:pt idx="9">
                  <c:v>5934.3333333333339</c:v>
                </c:pt>
                <c:pt idx="10">
                  <c:v>672.66666666666652</c:v>
                </c:pt>
                <c:pt idx="11">
                  <c:v>1415.6666666666667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49152"/>
        <c:axId val="175650688"/>
      </c:barChart>
      <c:catAx>
        <c:axId val="17564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650688"/>
        <c:crosses val="autoZero"/>
        <c:auto val="1"/>
        <c:lblAlgn val="ctr"/>
        <c:lblOffset val="100"/>
        <c:noMultiLvlLbl val="0"/>
      </c:catAx>
      <c:valAx>
        <c:axId val="17565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56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24872376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49777780</c:v>
                </c:pt>
                <c:pt idx="7" formatCode="#,##0.0">
                  <c:v>49777768</c:v>
                </c:pt>
                <c:pt idx="8" formatCode="#,##0.0">
                  <c:v>21880634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63744"/>
        <c:axId val="175673728"/>
      </c:barChart>
      <c:catAx>
        <c:axId val="175663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673728"/>
        <c:crosses val="autoZero"/>
        <c:auto val="1"/>
        <c:lblAlgn val="ctr"/>
        <c:lblOffset val="100"/>
        <c:noMultiLvlLbl val="0"/>
      </c:catAx>
      <c:valAx>
        <c:axId val="17567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56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18832.666666666664</c:v>
                </c:pt>
                <c:pt idx="1">
                  <c:v>5477.333333333333</c:v>
                </c:pt>
                <c:pt idx="2">
                  <c:v>4714.333333333333</c:v>
                </c:pt>
                <c:pt idx="3">
                  <c:v>12745.666666666664</c:v>
                </c:pt>
                <c:pt idx="4">
                  <c:v>14446</c:v>
                </c:pt>
                <c:pt idx="5">
                  <c:v>7690.6666666666661</c:v>
                </c:pt>
                <c:pt idx="6">
                  <c:v>4180.333333333333</c:v>
                </c:pt>
                <c:pt idx="7">
                  <c:v>1428</c:v>
                </c:pt>
                <c:pt idx="8">
                  <c:v>1400.6666666666667</c:v>
                </c:pt>
                <c:pt idx="9">
                  <c:v>26694.333333333332</c:v>
                </c:pt>
                <c:pt idx="10">
                  <c:v>24102</c:v>
                </c:pt>
                <c:pt idx="11">
                  <c:v>31824.333333333332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40892.333333333343</c:v>
                </c:pt>
                <c:pt idx="1">
                  <c:v>11109.666666666668</c:v>
                </c:pt>
                <c:pt idx="2">
                  <c:v>10243.666666666668</c:v>
                </c:pt>
                <c:pt idx="3">
                  <c:v>23204.333333333332</c:v>
                </c:pt>
                <c:pt idx="4">
                  <c:v>16447.000000000004</c:v>
                </c:pt>
                <c:pt idx="5">
                  <c:v>27439.666666666672</c:v>
                </c:pt>
                <c:pt idx="6">
                  <c:v>6005.6666666666661</c:v>
                </c:pt>
                <c:pt idx="7">
                  <c:v>1942</c:v>
                </c:pt>
                <c:pt idx="8">
                  <c:v>1636.666666666667</c:v>
                </c:pt>
                <c:pt idx="9">
                  <c:v>54901</c:v>
                </c:pt>
                <c:pt idx="10">
                  <c:v>4333.6666666666652</c:v>
                </c:pt>
                <c:pt idx="11">
                  <c:v>13302.000000000002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98688"/>
        <c:axId val="176157824"/>
      </c:barChart>
      <c:catAx>
        <c:axId val="17609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157824"/>
        <c:crosses val="autoZero"/>
        <c:auto val="1"/>
        <c:lblAlgn val="ctr"/>
        <c:lblOffset val="100"/>
        <c:noMultiLvlLbl val="0"/>
      </c:catAx>
      <c:valAx>
        <c:axId val="17615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0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266775224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517777780</c:v>
                </c:pt>
                <c:pt idx="7" formatCode="#,##0.0">
                  <c:v>517777768</c:v>
                </c:pt>
                <c:pt idx="8" formatCode="#,##0.0">
                  <c:v>237832058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34560"/>
        <c:axId val="176452736"/>
      </c:barChart>
      <c:catAx>
        <c:axId val="17643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452736"/>
        <c:crosses val="autoZero"/>
        <c:auto val="1"/>
        <c:lblAlgn val="ctr"/>
        <c:lblOffset val="100"/>
        <c:noMultiLvlLbl val="0"/>
      </c:catAx>
      <c:valAx>
        <c:axId val="17645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643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365.66666666666663</c:v>
                </c:pt>
                <c:pt idx="1">
                  <c:v>151.66666666666666</c:v>
                </c:pt>
                <c:pt idx="2">
                  <c:v>69.666666666666671</c:v>
                </c:pt>
                <c:pt idx="3">
                  <c:v>335.66666666666663</c:v>
                </c:pt>
                <c:pt idx="4">
                  <c:v>248.33333333333331</c:v>
                </c:pt>
                <c:pt idx="5">
                  <c:v>184.66666666666669</c:v>
                </c:pt>
                <c:pt idx="6">
                  <c:v>160</c:v>
                </c:pt>
                <c:pt idx="7">
                  <c:v>108.33333333333333</c:v>
                </c:pt>
                <c:pt idx="8">
                  <c:v>103.33333333333333</c:v>
                </c:pt>
                <c:pt idx="9">
                  <c:v>423</c:v>
                </c:pt>
                <c:pt idx="10">
                  <c:v>390.33333333333337</c:v>
                </c:pt>
                <c:pt idx="11">
                  <c:v>503.66666666666663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597</c:v>
                </c:pt>
                <c:pt idx="1">
                  <c:v>132.00000000000003</c:v>
                </c:pt>
                <c:pt idx="2">
                  <c:v>101.33333333333333</c:v>
                </c:pt>
                <c:pt idx="3">
                  <c:v>344.66666666666669</c:v>
                </c:pt>
                <c:pt idx="4">
                  <c:v>180.66666666666669</c:v>
                </c:pt>
                <c:pt idx="5">
                  <c:v>340.66666666666663</c:v>
                </c:pt>
                <c:pt idx="6">
                  <c:v>201.66666666666669</c:v>
                </c:pt>
                <c:pt idx="7">
                  <c:v>103.66666666666667</c:v>
                </c:pt>
                <c:pt idx="8">
                  <c:v>128.33333333333331</c:v>
                </c:pt>
                <c:pt idx="9">
                  <c:v>780.99999999999989</c:v>
                </c:pt>
                <c:pt idx="10">
                  <c:v>212.33333333333331</c:v>
                </c:pt>
                <c:pt idx="11">
                  <c:v>309.66666666666674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35264"/>
        <c:axId val="176236800"/>
      </c:barChart>
      <c:catAx>
        <c:axId val="176235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236800"/>
        <c:crosses val="autoZero"/>
        <c:auto val="1"/>
        <c:lblAlgn val="ctr"/>
        <c:lblOffset val="100"/>
        <c:noMultiLvlLbl val="0"/>
      </c:catAx>
      <c:valAx>
        <c:axId val="17623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2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7:Y60">
  <autoFilter ref="B57:Y60"/>
  <tableColumns count="24">
    <tableColumn id="2" name="Newtonsoft" totalsRowFunction="custom">
      <totalsRowFormula>AverageNumbers[](Serialization[Newtonsoft])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-JSON" totalsRowFunction="custom">
      <totalsRowFormula>AverageNumbers[](Serialization[DSL-JSON])</totalsRowFormula>
    </tableColumn>
    <tableColumn id="11" name="Kryo (binary reference)"/>
    <tableColumn id="24" name="Boon"/>
    <tableColumn id="23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4">
  <autoFilter ref="B51:M54"/>
  <tableColumns count="12">
    <tableColumn id="2" name="Newtonsoft" totalsRowFunction="custom">
      <totalsRowFormula>Table20[](Table17[Newtonsoft])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Table20[](Table17[Jil])</totalsRowFormula>
    </tableColumn>
    <tableColumn id="10" name="NetJSON"/>
    <tableColumn id="15" name="Jackson"/>
    <tableColumn id="6" name="DSL-JSON" totalsRowFunction="custom">
      <totalsRowFormula>Table20[](Table17[DSL-JSON])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7:Y60">
  <autoFilter ref="B57:Y60"/>
  <tableColumns count="24">
    <tableColumn id="2" name="Newtonsoft" totalsRowFunction="custom">
      <totalsRowFormula>Table25[](Table21[Newtonsoft])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Table25[](Table21[Jil])</totalsRowFormula>
    </tableColumn>
    <tableColumn id="9" name="NetJSON"/>
    <tableColumn id="8" name="Jackson"/>
    <tableColumn id="4" name="DSL-JSON" totalsRowFunction="custom">
      <totalsRowFormula>Table25[](Table21[DSL-JSON])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Table25[](Table21[Gson])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Table25[](Table21[Service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Table25[](Table21[Newtonsoft])</calculatedColumnFormula>
    </tableColumn>
    <tableColumn id="3" name="Revenj" dataDxfId="382"/>
    <tableColumn id="11" name="ProtoBuf (binary reference)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-JSON" dataDxfId="376"/>
    <tableColumn id="9" name="Kryo (binary reference)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Table25[](Table21[Newtonsoft])</calculatedColumnFormula>
    </tableColumn>
    <tableColumn id="3" name="Revenj" dataDxfId="370"/>
    <tableColumn id="11" name="Protobuf (binary reference)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-JSON" dataDxfId="364"/>
    <tableColumn id="9" name="Kryo (binary reference)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3:M66">
  <autoFilter ref="B63:M66"/>
  <tableColumns count="12">
    <tableColumn id="2" name="Newtonsoft" totalsRowFunction="custom">
      <totalsRowFormula>Table25[](Table23[Newtonsoft])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Table25[](Table23[Jil])</totalsRowFormula>
    </tableColumn>
    <tableColumn id="10" name="NetJSON"/>
    <tableColumn id="15" name="Jackson"/>
    <tableColumn id="6" name="DSL-JSON" totalsRowFunction="custom">
      <totalsRowFormula>Table25[](Table23[DSL-JSON])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4">
  <autoFilter ref="B51:M54"/>
  <tableColumns count="12">
    <tableColumn id="2" name="Newtonsoft" totalsRowFunction="custom">
      <totalsRowFormula>Table25[](Table22[Newtonsoft])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Table25[](Table22[Jil])</totalsRowFormula>
    </tableColumn>
    <tableColumn id="10" name="NetJSON"/>
    <tableColumn id="15" name="Jackson"/>
    <tableColumn id="6" name="DSL-JSON" totalsRowFunction="custom">
      <totalsRowFormula>Table25[](Table22[DSL-JSON])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7:Y60">
  <autoFilter ref="B57:Y60"/>
  <tableColumns count="24">
    <tableColumn id="2" name="Newtonsoft" totalsRowFunction="custom">
      <totalsRowFormula>Table30[](Table26[Newtonsoft])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Table30[](Table26[Jil])</totalsRowFormula>
    </tableColumn>
    <tableColumn id="9" name="NetJSON"/>
    <tableColumn id="8" name="Jackson"/>
    <tableColumn id="4" name="DSL-JSON" totalsRowFunction="custom">
      <totalsRowFormula>Table30[](Table26[DSL-JSON])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Table30[](Table26[Gson])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Table30[](Table26[Service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Table30[](Table26[Newtonsoft])</calculatedColumnFormula>
    </tableColumn>
    <tableColumn id="3" name="Revenj" dataDxfId="358"/>
    <tableColumn id="11" name="ProtoBuf (binary reference)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-JSON" dataDxfId="352"/>
    <tableColumn id="9" name="Kryo (binary reference)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Table30[](Table26[Newtonsoft])</calculatedColumnFormula>
    </tableColumn>
    <tableColumn id="3" name="Revenj" dataDxfId="346"/>
    <tableColumn id="11" name="Protobuf (binary reference)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-JSON" dataDxfId="340"/>
    <tableColumn id="9" name="Kryo (binary reference)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3:M66">
  <autoFilter ref="B63:M66"/>
  <tableColumns count="12">
    <tableColumn id="2" name="Newtonsoft" totalsRowFunction="custom">
      <totalsRowFormula>Table30[](Table28[Newtonsoft])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Table30[](Table28[Jil])</totalsRowFormula>
    </tableColumn>
    <tableColumn id="10" name="NetJSON"/>
    <tableColumn id="15" name="Jackson"/>
    <tableColumn id="6" name="DSL-JSON" totalsRowFunction="custom">
      <totalsRowFormula>Table30[](Table28[DSL-JSON])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ProtoBuf (binary reference)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-JSON" dataDxfId="424"/>
    <tableColumn id="9" name="Kryo (binary reference)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4">
  <autoFilter ref="B51:M54"/>
  <tableColumns count="12">
    <tableColumn id="2" name="Newtonsoft" totalsRowFunction="custom">
      <totalsRowFormula>Table30[](Table27[Newtonsoft])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Table30[](Table27[Jil])</totalsRowFormula>
    </tableColumn>
    <tableColumn id="10" name="NetJSON"/>
    <tableColumn id="15" name="Jackson"/>
    <tableColumn id="6" name="DSL-JSON" totalsRowFunction="custom">
      <totalsRowFormula>Table30[](Table27[DSL-JSON])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7:Y60">
  <autoFilter ref="B57:Y60"/>
  <tableColumns count="24">
    <tableColumn id="2" name="Newtonsoft" totalsRowFunction="custom">
      <totalsRowFormula>Table35[](Table31[Newtonsoft])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Table35[](Table31[Jil])</totalsRowFormula>
    </tableColumn>
    <tableColumn id="9" name="NetJSON"/>
    <tableColumn id="8" name="Jackson"/>
    <tableColumn id="4" name="DSL-JSON" totalsRowFunction="custom">
      <totalsRowFormula>Table35[](Table31[DSL-JSON])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Table35[](Table31[Gson])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Table35[](Table31[Service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Table35[](Table31[Newtonsoft])</calculatedColumnFormula>
    </tableColumn>
    <tableColumn id="3" name="Revenj" dataDxfId="334"/>
    <tableColumn id="11" name="ProtoBuf (binary reference)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-JSON" dataDxfId="328"/>
    <tableColumn id="9" name="Kryo (binary reference)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Table35[](Table31[Newtonsoft])</calculatedColumnFormula>
    </tableColumn>
    <tableColumn id="3" name="Revenj" dataDxfId="322"/>
    <tableColumn id="11" name="Protobuf (binary reference)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-JSON" dataDxfId="316"/>
    <tableColumn id="9" name="Kryo (binary reference)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3:M66">
  <autoFilter ref="B63:M66"/>
  <tableColumns count="12">
    <tableColumn id="2" name="Newtonsoft" totalsRowFunction="custom">
      <totalsRowFormula>Table35[](Table33[Newtonsoft])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Table35[](Table33[Jil])</totalsRowFormula>
    </tableColumn>
    <tableColumn id="10" name="NetJSON"/>
    <tableColumn id="15" name="Jackson"/>
    <tableColumn id="6" name="DSL-JSON" totalsRowFunction="custom">
      <totalsRowFormula>Table35[](Table33[DSL-JSON])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4">
  <autoFilter ref="B51:M54"/>
  <tableColumns count="12">
    <tableColumn id="2" name="Newtonsoft" totalsRowFunction="custom">
      <totalsRowFormula>Table35[](Table32[Newtonsoft])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Table35[](Table32[Jil])</totalsRowFormula>
    </tableColumn>
    <tableColumn id="10" name="NetJSON"/>
    <tableColumn id="15" name="Jackson"/>
    <tableColumn id="6" name="DSL-JSON" totalsRowFunction="custom">
      <totalsRowFormula>Table35[](Table32[DSL-JSON])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7:Y60">
  <autoFilter ref="B57:Y60"/>
  <tableColumns count="24">
    <tableColumn id="2" name="Newtonsoft" totalsRowFunction="custom">
      <totalsRowFormula>Table40[](Table36[Newtonsoft])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Table40[](Table36[Jil])</totalsRowFormula>
    </tableColumn>
    <tableColumn id="9" name="NetJSON"/>
    <tableColumn id="8" name="Jackson"/>
    <tableColumn id="4" name="DSL-JSON" totalsRowFunction="custom">
      <totalsRowFormula>Table40[](Table36[DSL-JSON])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Table40[](Table36[Gson])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Table40[](Table36[Service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Table40[](Table36[Newtonsoft])</calculatedColumnFormula>
    </tableColumn>
    <tableColumn id="3" name="Revenj" dataDxfId="310"/>
    <tableColumn id="11" name="ProtoBuf (binary reference)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-JSON" dataDxfId="304"/>
    <tableColumn id="9" name="Kryo (binary reference)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Table40[](Table36[Newtonsoft])</calculatedColumnFormula>
    </tableColumn>
    <tableColumn id="3" name="Revenj" dataDxfId="298"/>
    <tableColumn id="11" name="Protobuf (binary reference)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-JSON" dataDxfId="292"/>
    <tableColumn id="9" name="Kryo (binary reference)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3:M66">
  <autoFilter ref="B63:M66"/>
  <tableColumns count="12">
    <tableColumn id="2" name="Newtonsoft" totalsRowFunction="custom">
      <totalsRowFormula>Table40[](Table38[Newtonsoft])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Table40[](Table38[Jil])</totalsRowFormula>
    </tableColumn>
    <tableColumn id="10" name="NetJSON"/>
    <tableColumn id="15" name="Jackson"/>
    <tableColumn id="6" name="DSL-JSON" totalsRowFunction="custom">
      <totalsRowFormula>Table40[](Table38[DSL-JSON])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Protobuf (binary reference)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-JSON" dataDxfId="412"/>
    <tableColumn id="9" name="Kryo (binary reference)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4">
  <autoFilter ref="B51:M54"/>
  <tableColumns count="12">
    <tableColumn id="2" name="Newtonsoft" totalsRowFunction="custom">
      <totalsRowFormula>Table40[](Table37[Newtonsoft])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Table40[](Table37[Jil])</totalsRowFormula>
    </tableColumn>
    <tableColumn id="10" name="NetJSON"/>
    <tableColumn id="15" name="Jackson"/>
    <tableColumn id="6" name="DSL-JSON" totalsRowFunction="custom">
      <totalsRowFormula>Table40[](Table37[DSL-JSON])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7:Y60">
  <autoFilter ref="B57:Y60"/>
  <tableColumns count="24">
    <tableColumn id="2" name="Newtonsoft" totalsRowFunction="custom">
      <totalsRowFormula>Table45[](Table41[Newtonsoft])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Table45[](Table41[Jil])</totalsRowFormula>
    </tableColumn>
    <tableColumn id="9" name="NetJSON"/>
    <tableColumn id="8" name="Jackson"/>
    <tableColumn id="4" name="DSL-JSON" totalsRowFunction="custom">
      <totalsRowFormula>Table45[](Table41[DSL-JSON])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Table45[](Table41[Gson])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Table45[](Table41[Service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Table45[](Table41[Newtonsoft])</calculatedColumnFormula>
    </tableColumn>
    <tableColumn id="3" name="Revenj" dataDxfId="286"/>
    <tableColumn id="11" name="ProtoBuf (binary reference)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-JSON" dataDxfId="280"/>
    <tableColumn id="9" name="Kryo (binary reference)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Table45[](Table41[Newtonsoft])</calculatedColumnFormula>
    </tableColumn>
    <tableColumn id="3" name="Revenj" dataDxfId="274"/>
    <tableColumn id="11" name="Protobuf (binary reference)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-JSON" dataDxfId="268"/>
    <tableColumn id="9" name="Kryo (binary reference)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3:M66">
  <autoFilter ref="B63:M66"/>
  <tableColumns count="12">
    <tableColumn id="2" name="Newtonsoft" totalsRowFunction="custom">
      <totalsRowFormula>Table45[](Table43[Newtonsoft])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Table45[](Table43[Jil])</totalsRowFormula>
    </tableColumn>
    <tableColumn id="10" name="NetJSON"/>
    <tableColumn id="15" name="Jackson"/>
    <tableColumn id="6" name="DSL-JSON" totalsRowFunction="custom">
      <totalsRowFormula>Table45[](Table43[DSL-JSON])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4">
  <autoFilter ref="B51:M54"/>
  <tableColumns count="12">
    <tableColumn id="2" name="Newtonsoft" totalsRowFunction="custom">
      <totalsRowFormula>Table45[](Table42[Newtonsoft])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Table45[](Table42[Jil])</totalsRowFormula>
    </tableColumn>
    <tableColumn id="10" name="NetJSON"/>
    <tableColumn id="15" name="Jackson"/>
    <tableColumn id="6" name="DSL-JSON" totalsRowFunction="custom">
      <totalsRowFormula>Table45[](Table42[DSL-JSON])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7:Y60">
  <autoFilter ref="B57:Y60"/>
  <tableColumns count="24">
    <tableColumn id="2" name="Newtonsoft" totalsRowFunction="custom">
      <totalsRowFormula>Table50[](Table46[Newtonsoft])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Table50[](Table46[Jil])</totalsRowFormula>
    </tableColumn>
    <tableColumn id="9" name="NetJSON"/>
    <tableColumn id="8" name="Jackson"/>
    <tableColumn id="4" name="DSL-JSON" totalsRowFunction="custom">
      <totalsRowFormula>Table50[](Table46[DSL-JSON])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Table50[](Table46[Gson])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Table50[](Table46[Service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Table50[](Table46[Newtonsoft])</calculatedColumnFormula>
    </tableColumn>
    <tableColumn id="3" name="Revenj" dataDxfId="262"/>
    <tableColumn id="11" name="ProtoBuf (binary reference)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-JSON" dataDxfId="256"/>
    <tableColumn id="9" name="Kryo (binary reference)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Table50[](Table46[Newtonsoft])</calculatedColumnFormula>
    </tableColumn>
    <tableColumn id="3" name="Revenj" dataDxfId="250"/>
    <tableColumn id="11" name="Protobuf (binary reference)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-JSON" dataDxfId="244"/>
    <tableColumn id="9" name="Kryo (binary reference)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3:M66">
  <autoFilter ref="B63:M66"/>
  <tableColumns count="12">
    <tableColumn id="2" name="Newtonsoft" totalsRowFunction="custom">
      <totalsRowFormula>Table50[](Table48[Newtonsoft])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Table50[](Table48[Jil])</totalsRowFormula>
    </tableColumn>
    <tableColumn id="10" name="NetJSON"/>
    <tableColumn id="15" name="Jackson"/>
    <tableColumn id="6" name="DSL-JSON" totalsRowFunction="custom">
      <totalsRowFormula>Table50[](Table48[DSL-JSON])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3:M66">
  <autoFilter ref="B63:M66"/>
  <tableColumns count="12">
    <tableColumn id="2" name="Newtonsoft" totalsRowFunction="custom">
      <totalsRowFormula>AverageNumbers[](Both[Newtonsoft])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-JSON" totalsRowFunction="custom">
      <totalsRowFormula>AverageNumbers[](Both[DSL-JSON])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4">
  <autoFilter ref="B51:M54"/>
  <tableColumns count="12">
    <tableColumn id="2" name="Newtonsoft" totalsRowFunction="custom">
      <totalsRowFormula>Table50[](Table47[Newtonsoft])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Table50[](Table47[Jil])</totalsRowFormula>
    </tableColumn>
    <tableColumn id="10" name="NetJSON"/>
    <tableColumn id="15" name="Jackson"/>
    <tableColumn id="6" name="DSL-JSON" totalsRowFunction="custom">
      <totalsRowFormula>Table50[](Table47[DSL-JSON])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7:Y60">
  <autoFilter ref="B57:Y60"/>
  <tableColumns count="24">
    <tableColumn id="2" name="Newtonsoft" totalsRowFunction="custom">
      <totalsRowFormula>Table55[](Table51[Newtonsoft])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Table55[](Table51[Jil])</totalsRowFormula>
    </tableColumn>
    <tableColumn id="9" name="NetJSON"/>
    <tableColumn id="8" name="Jackson"/>
    <tableColumn id="4" name="DSL-JSON" totalsRowFunction="custom">
      <totalsRowFormula>Table55[](Table51[DSL-JSON])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Table55[](Table51[Gson])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Table55[](Table51[Service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Table55[](Table51[Newtonsoft])</calculatedColumnFormula>
    </tableColumn>
    <tableColumn id="3" name="Revenj" dataDxfId="238"/>
    <tableColumn id="11" name="ProtoBuf (binary reference)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-JSON" dataDxfId="232"/>
    <tableColumn id="9" name="Kryo (binary reference)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Table55[](Table51[Newtonsoft])</calculatedColumnFormula>
    </tableColumn>
    <tableColumn id="3" name="Revenj" dataDxfId="226"/>
    <tableColumn id="11" name="Protobuf (binary reference)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-JSON" dataDxfId="220"/>
    <tableColumn id="9" name="Kryo (binary reference)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3:M66">
  <autoFilter ref="B63:M66"/>
  <tableColumns count="12">
    <tableColumn id="2" name="Newtonsoft" totalsRowFunction="custom">
      <totalsRowFormula>Table55[](Table53[Newtonsoft])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Table55[](Table53[Jil])</totalsRowFormula>
    </tableColumn>
    <tableColumn id="10" name="NetJSON"/>
    <tableColumn id="15" name="Jackson"/>
    <tableColumn id="6" name="DSL-JSON" totalsRowFunction="custom">
      <totalsRowFormula>Table55[](Table53[DSL-JSON])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4">
  <autoFilter ref="B51:M54"/>
  <tableColumns count="12">
    <tableColumn id="2" name="Newtonsoft" totalsRowFunction="custom">
      <totalsRowFormula>Table55[](Table52[Newtonsoft])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Table55[](Table52[Jil])</totalsRowFormula>
    </tableColumn>
    <tableColumn id="10" name="NetJSON"/>
    <tableColumn id="15" name="Jackson"/>
    <tableColumn id="6" name="DSL-JSON" totalsRowFunction="custom">
      <totalsRowFormula>Table55[](Table52[DSL-JSON])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7:Y60">
  <autoFilter ref="B57:Y60"/>
  <tableColumns count="24">
    <tableColumn id="2" name="Newtonsoft" totalsRowFunction="custom">
      <totalsRowFormula>Table60[](Table56[Newtonsoft])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Table60[](Table56[Jil])</totalsRowFormula>
    </tableColumn>
    <tableColumn id="9" name="NetJSON"/>
    <tableColumn id="8" name="Jackson"/>
    <tableColumn id="4" name="DSL-JSON" totalsRowFunction="custom">
      <totalsRowFormula>Table60[](Table56[DSL-JSON])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Table60[](Table56[Gson])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Table60[](Table56[Service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Table60[](Table56[Newtonsoft])</calculatedColumnFormula>
    </tableColumn>
    <tableColumn id="3" name="Revenj" dataDxfId="214"/>
    <tableColumn id="11" name="ProtoBuf (binary reference)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-JSON" dataDxfId="208"/>
    <tableColumn id="9" name="Kryo (binary reference)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Table60[](Table56[Newtonsoft])</calculatedColumnFormula>
    </tableColumn>
    <tableColumn id="3" name="Revenj" dataDxfId="202"/>
    <tableColumn id="11" name="Protobuf (binary reference)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-JSON" dataDxfId="196"/>
    <tableColumn id="9" name="Kryo (binary reference)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3:M66">
  <autoFilter ref="B63:M66"/>
  <tableColumns count="12">
    <tableColumn id="2" name="Newtonsoft" totalsRowFunction="custom">
      <totalsRowFormula>Table60[](Table58[Newtonsoft])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Table60[](Table58[Jil])</totalsRowFormula>
    </tableColumn>
    <tableColumn id="10" name="NetJSON"/>
    <tableColumn id="15" name="Jackson"/>
    <tableColumn id="6" name="DSL-JSON" totalsRowFunction="custom">
      <totalsRowFormula>Table60[](Table58[DSL-JSON])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4">
  <autoFilter ref="B51:M54"/>
  <tableColumns count="12">
    <tableColumn id="2" name="Newtonsoft" totalsRowFunction="custom">
      <totalsRowFormula>AverageNumbers[](Instance[Newtonsoft])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-JSON" totalsRowFunction="custom">
      <totalsRowFormula>AverageNumbers[](Instance[DSL-JSON])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4">
  <autoFilter ref="B51:M54"/>
  <tableColumns count="12">
    <tableColumn id="2" name="Newtonsoft" totalsRowFunction="custom">
      <totalsRowFormula>Table60[](Table57[Newtonsoft])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Table60[](Table57[Jil])</totalsRowFormula>
    </tableColumn>
    <tableColumn id="10" name="NetJSON"/>
    <tableColumn id="15" name="Jackson"/>
    <tableColumn id="6" name="DSL-JSON" totalsRowFunction="custom">
      <totalsRowFormula>Table60[](Table57[DSL-JSON])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7:Y60">
  <autoFilter ref="B57:Y60"/>
  <tableColumns count="24">
    <tableColumn id="2" name="Newtonsoft" totalsRowFunction="custom">
      <totalsRowFormula>Table65[](Table61[Newtonsoft])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Table65[](Table61[Jil])</totalsRowFormula>
    </tableColumn>
    <tableColumn id="9" name="NetJSON"/>
    <tableColumn id="8" name="Jackson"/>
    <tableColumn id="4" name="DSL-JSON" totalsRowFunction="custom">
      <totalsRowFormula>Table65[](Table61[DSL-JSON])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Table65[](Table61[Gson])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Table65[](Table61[Service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Table65[](Table61[Newtonsoft])</calculatedColumnFormula>
    </tableColumn>
    <tableColumn id="3" name="Revenj" dataDxfId="190"/>
    <tableColumn id="11" name="ProtoBuf (binary reference)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-JSON" dataDxfId="184"/>
    <tableColumn id="9" name="Kryo (binary reference)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Table65[](Table61[Newtonsoft])</calculatedColumnFormula>
    </tableColumn>
    <tableColumn id="3" name="Revenj" dataDxfId="178"/>
    <tableColumn id="11" name="Protobuf (binary reference)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-JSON" dataDxfId="172"/>
    <tableColumn id="9" name="Kryo (binary reference)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3:M66">
  <autoFilter ref="B63:M66"/>
  <tableColumns count="12">
    <tableColumn id="2" name="Newtonsoft" totalsRowFunction="custom">
      <totalsRowFormula>Table65[](Table63[Newtonsoft])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Table65[](Table63[Jil])</totalsRowFormula>
    </tableColumn>
    <tableColumn id="10" name="NetJSON"/>
    <tableColumn id="15" name="Jackson"/>
    <tableColumn id="6" name="DSL-JSON" totalsRowFunction="custom">
      <totalsRowFormula>Table65[](Table63[DSL-JSON])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4">
  <autoFilter ref="B51:M54"/>
  <tableColumns count="12">
    <tableColumn id="2" name="Newtonsoft" totalsRowFunction="custom">
      <totalsRowFormula>Table65[](Table62[Newtonsoft])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Table65[](Table62[Jil])</totalsRowFormula>
    </tableColumn>
    <tableColumn id="10" name="NetJSON"/>
    <tableColumn id="15" name="Jackson"/>
    <tableColumn id="6" name="DSL-JSON" totalsRowFunction="custom">
      <totalsRowFormula>Table65[](Table62[DSL-JSON])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7:Y60">
  <autoFilter ref="B57:Y60"/>
  <tableColumns count="24">
    <tableColumn id="2" name="Newtonsoft" totalsRowFunction="custom">
      <totalsRowFormula>Table70[](Table66[Newtonsoft])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Table70[](Table66[Jil])</totalsRowFormula>
    </tableColumn>
    <tableColumn id="9" name="NetJSON"/>
    <tableColumn id="8" name="Jackson"/>
    <tableColumn id="4" name="DSL-JSON" totalsRowFunction="custom">
      <totalsRowFormula>Table70[](Table66[DSL-JSON])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Table70[](Table66[Gson])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Table70[](Table66[Service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Table70[](Table66[Newtonsoft])</calculatedColumnFormula>
    </tableColumn>
    <tableColumn id="3" name="Revenj" dataDxfId="166"/>
    <tableColumn id="11" name="ProtoBuf (binary reference)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-JSON" dataDxfId="160"/>
    <tableColumn id="9" name="Kryo (binary reference)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Table70[](Table66[Newtonsoft])</calculatedColumnFormula>
    </tableColumn>
    <tableColumn id="3" name="Revenj" dataDxfId="154"/>
    <tableColumn id="11" name="Protobuf (binary reference)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-JSON" dataDxfId="148"/>
    <tableColumn id="9" name="Kryo (binary reference)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3:M66">
  <autoFilter ref="B63:M66"/>
  <tableColumns count="12">
    <tableColumn id="2" name="Newtonsoft" totalsRowFunction="custom">
      <totalsRowFormula>Table70[](Table68[Newtonsoft])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Table70[](Table68[Jil])</totalsRowFormula>
    </tableColumn>
    <tableColumn id="10" name="NetJSON"/>
    <tableColumn id="15" name="Jackson"/>
    <tableColumn id="6" name="DSL-JSON" totalsRowFunction="custom">
      <totalsRowFormula>Table70[](Table68[DSL-JSON])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7:Y60">
  <autoFilter ref="B57:Y60"/>
  <tableColumns count="24">
    <tableColumn id="2" name="Newtonsoft" totalsRowFunction="custom">
      <totalsRowFormula>Table20[](Table16[Newtonsoft])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Table20[](Table16[Jil])</totalsRowFormula>
    </tableColumn>
    <tableColumn id="9" name="NetJSON"/>
    <tableColumn id="8" name="Jackson"/>
    <tableColumn id="4" name="DSL-JSON" totalsRowFunction="custom">
      <totalsRowFormula>Table20[](Table16[DSL-JSON])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Table20[](Table16[Gson])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Table20[](Table16[Service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4">
  <autoFilter ref="B51:M54"/>
  <tableColumns count="12">
    <tableColumn id="2" name="Newtonsoft" totalsRowFunction="custom">
      <totalsRowFormula>Table70[](Table67[Newtonsoft])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Table70[](Table67[Jil])</totalsRowFormula>
    </tableColumn>
    <tableColumn id="10" name="NetJSON"/>
    <tableColumn id="15" name="Jackson"/>
    <tableColumn id="6" name="DSL-JSON" totalsRowFunction="custom">
      <totalsRowFormula>Table70[](Table67[DSL-JSON])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7:Y60">
  <autoFilter ref="B57:Y60"/>
  <tableColumns count="24">
    <tableColumn id="2" name="Newtonsoft" totalsRowFunction="custom">
      <totalsRowFormula>Table75[](Table71[Newtonsoft])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Table75[](Table71[Jil])</totalsRowFormula>
    </tableColumn>
    <tableColumn id="9" name="NetJSON"/>
    <tableColumn id="8" name="Jackson"/>
    <tableColumn id="4" name="DSL-JSON" totalsRowFunction="custom">
      <totalsRowFormula>Table75[](Table71[DSL-JSON])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Table75[](Table71[Gson])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Table75[](Table71[Service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Table75[](Table71[Newtonsoft])</calculatedColumnFormula>
    </tableColumn>
    <tableColumn id="3" name="Revenj" dataDxfId="142"/>
    <tableColumn id="11" name="ProtoBuf (binary reference)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-JSON" dataDxfId="136"/>
    <tableColumn id="9" name="Kryo (binary reference)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Table75[](Table71[Newtonsoft])</calculatedColumnFormula>
    </tableColumn>
    <tableColumn id="3" name="Revenj" dataDxfId="130"/>
    <tableColumn id="11" name="Protobuf (binary reference)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-JSON" dataDxfId="124"/>
    <tableColumn id="9" name="Kryo (binary reference)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3:M66">
  <autoFilter ref="B63:M66"/>
  <tableColumns count="12">
    <tableColumn id="2" name="Newtonsoft" totalsRowFunction="custom">
      <totalsRowFormula>Table75[](Table73[Newtonsoft])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Table75[](Table73[Jil])</totalsRowFormula>
    </tableColumn>
    <tableColumn id="10" name="NetJSON"/>
    <tableColumn id="15" name="Jackson"/>
    <tableColumn id="6" name="DSL-JSON" totalsRowFunction="custom">
      <totalsRowFormula>Table75[](Table73[DSL-JSON])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4">
  <autoFilter ref="B51:M54"/>
  <tableColumns count="12">
    <tableColumn id="2" name="Newtonsoft" totalsRowFunction="custom">
      <totalsRowFormula>Table75[](Table72[Newtonsoft])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Table75[](Table72[Jil])</totalsRowFormula>
    </tableColumn>
    <tableColumn id="10" name="NetJSON"/>
    <tableColumn id="15" name="Jackson"/>
    <tableColumn id="6" name="DSL-JSON" totalsRowFunction="custom">
      <totalsRowFormula>Table75[](Table72[DSL-JSON])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7:Y60">
  <autoFilter ref="B57:Y60"/>
  <tableColumns count="24">
    <tableColumn id="2" name="Newtonsoft" totalsRowFunction="custom">
      <totalsRowFormula>Table80[](Table76[Newtonsoft])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Table80[](Table76[Jil])</totalsRowFormula>
    </tableColumn>
    <tableColumn id="9" name="NetJSON"/>
    <tableColumn id="8" name="Jackson"/>
    <tableColumn id="4" name="DSL-JSON" totalsRowFunction="custom">
      <totalsRowFormula>Table80[](Table76[DSL-JSON])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Table80[](Table76[Gson])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Table80[](Table76[Service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Table80[](Table76[Newtonsoft])</calculatedColumnFormula>
    </tableColumn>
    <tableColumn id="3" name="Revenj" dataDxfId="118"/>
    <tableColumn id="11" name="ProtoBuf (binary reference)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-JSON" dataDxfId="112"/>
    <tableColumn id="9" name="Kryo (binary reference)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Table80[](Table76[Newtonsoft])</calculatedColumnFormula>
    </tableColumn>
    <tableColumn id="3" name="Revenj" dataDxfId="106"/>
    <tableColumn id="11" name="Protobuf (binary reference)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-JSON" dataDxfId="100"/>
    <tableColumn id="9" name="Kryo (binary reference)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3:M66">
  <autoFilter ref="B63:M66"/>
  <tableColumns count="12">
    <tableColumn id="2" name="Newtonsoft" totalsRowFunction="custom">
      <totalsRowFormula>Table80[](Table78[Newtonsoft])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Table80[](Table78[Jil])</totalsRowFormula>
    </tableColumn>
    <tableColumn id="10" name="NetJSON"/>
    <tableColumn id="15" name="Jackson"/>
    <tableColumn id="6" name="DSL-JSON" totalsRowFunction="custom">
      <totalsRowFormula>Table80[](Table78[DSL-JSON])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Table20[](Table16[Newtonsoft])</calculatedColumnFormula>
    </tableColumn>
    <tableColumn id="3" name="Revenj" dataDxfId="406"/>
    <tableColumn id="11" name="ProtoBuf (binary reference)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-JSON" dataDxfId="400"/>
    <tableColumn id="9" name="Kryo (binary reference)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4">
  <autoFilter ref="B51:M54"/>
  <tableColumns count="12">
    <tableColumn id="2" name="Newtonsoft" totalsRowFunction="custom">
      <totalsRowFormula>Table80[](Table77[Newtonsoft])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Table80[](Table77[Jil])</totalsRowFormula>
    </tableColumn>
    <tableColumn id="10" name="NetJSON"/>
    <tableColumn id="15" name="Jackson"/>
    <tableColumn id="6" name="DSL-JSON" totalsRowFunction="custom">
      <totalsRowFormula>Table80[](Table77[DSL-JSON])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7:Y60">
  <autoFilter ref="B57:Y60"/>
  <tableColumns count="24">
    <tableColumn id="2" name="Newtonsoft" totalsRowFunction="custom">
      <totalsRowFormula>Table85[](Table81[Newtonsoft])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Table85[](Table81[Jil])</totalsRowFormula>
    </tableColumn>
    <tableColumn id="9" name="NetJSON"/>
    <tableColumn id="8" name="Jackson"/>
    <tableColumn id="4" name="DSL-JSON" totalsRowFunction="custom">
      <totalsRowFormula>Table85[](Table81[DSL-JSON])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Table85[](Table81[Gson])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Table85[](Table81[Service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Table85[](Table81[Newtonsoft])</calculatedColumnFormula>
    </tableColumn>
    <tableColumn id="3" name="Revenj" dataDxfId="94"/>
    <tableColumn id="11" name="ProtoBuf (binary reference)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-JSON" dataDxfId="88"/>
    <tableColumn id="9" name="Kryo (binary reference)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Table85[](Table81[Newtonsoft])</calculatedColumnFormula>
    </tableColumn>
    <tableColumn id="3" name="Revenj" dataDxfId="82"/>
    <tableColumn id="11" name="Protobuf (binary reference)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-JSON" dataDxfId="76"/>
    <tableColumn id="9" name="Kryo (binary reference)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3:M66">
  <autoFilter ref="B63:M66"/>
  <tableColumns count="12">
    <tableColumn id="2" name="Newtonsoft" totalsRowFunction="custom">
      <totalsRowFormula>Table85[](Table83[Newtonsoft])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Table85[](Table83[Jil])</totalsRowFormula>
    </tableColumn>
    <tableColumn id="10" name="NetJSON"/>
    <tableColumn id="15" name="Jackson"/>
    <tableColumn id="6" name="DSL-JSON" totalsRowFunction="custom">
      <totalsRowFormula>Table85[](Table83[DSL-JSON])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4">
  <autoFilter ref="B51:M54"/>
  <tableColumns count="12">
    <tableColumn id="2" name="Newtonsoft" totalsRowFunction="custom">
      <totalsRowFormula>Table85[](Table82[Newtonsoft])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Table85[](Table82[Jil])</totalsRowFormula>
    </tableColumn>
    <tableColumn id="10" name="NetJSON"/>
    <tableColumn id="15" name="Jackson"/>
    <tableColumn id="6" name="DSL-JSON" totalsRowFunction="custom">
      <totalsRowFormula>Table85[](Table82[DSL-JSON])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7:Y60">
  <autoFilter ref="B57:Y60"/>
  <tableColumns count="24">
    <tableColumn id="2" name="Newtonsoft" totalsRowFunction="custom">
      <totalsRowFormula>Table90[](Table86[Newtonsoft])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Table90[](Table86[Jil])</totalsRowFormula>
    </tableColumn>
    <tableColumn id="9" name="NetJSON"/>
    <tableColumn id="8" name="Jackson"/>
    <tableColumn id="4" name="DSL-JSON" totalsRowFunction="custom">
      <totalsRowFormula>Table90[](Table86[DSL-JSON])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Table90[](Table86[Gson])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Table90[](Table86[Service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Table90[](Table86[Newtonsoft])</calculatedColumnFormula>
    </tableColumn>
    <tableColumn id="3" name="Revenj" dataDxfId="70"/>
    <tableColumn id="11" name="ProtoBuf (binary reference)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-JSON" dataDxfId="64"/>
    <tableColumn id="9" name="Kryo (binary reference)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Table90[](Table86[Newtonsoft])</calculatedColumnFormula>
    </tableColumn>
    <tableColumn id="3" name="Revenj" dataDxfId="58"/>
    <tableColumn id="11" name="Protobuf (binary reference)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-JSON" dataDxfId="52"/>
    <tableColumn id="9" name="Kryo (binary reference)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3:M66">
  <autoFilter ref="B63:M66"/>
  <tableColumns count="12">
    <tableColumn id="2" name="Newtonsoft" totalsRowFunction="custom">
      <totalsRowFormula>Table90[](Table88[Newtonsoft])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Table90[](Table88[Jil])</totalsRowFormula>
    </tableColumn>
    <tableColumn id="10" name="NetJSON"/>
    <tableColumn id="15" name="Jackson"/>
    <tableColumn id="6" name="DSL-JSON" totalsRowFunction="custom">
      <totalsRowFormula>Table90[](Table88[DSL-JSON])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Table20[](Table16[Newtonsoft])</calculatedColumnFormula>
    </tableColumn>
    <tableColumn id="3" name="Revenj" dataDxfId="394"/>
    <tableColumn id="11" name="Protobuf (binary reference)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-JSON" dataDxfId="388"/>
    <tableColumn id="9" name="Kryo (binary reference)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4">
  <autoFilter ref="B51:M54"/>
  <tableColumns count="12">
    <tableColumn id="2" name="Newtonsoft" totalsRowFunction="custom">
      <totalsRowFormula>Table90[](Table87[Newtonsoft])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Table90[](Table87[Jil])</totalsRowFormula>
    </tableColumn>
    <tableColumn id="10" name="NetJSON"/>
    <tableColumn id="15" name="Jackson"/>
    <tableColumn id="6" name="DSL-JSON" totalsRowFunction="custom">
      <totalsRowFormula>Table90[](Table87[DSL-JSON])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7:Y60">
  <autoFilter ref="B57:Y60"/>
  <tableColumns count="24">
    <tableColumn id="2" name="Newtonsoft" totalsRowFunction="custom">
      <totalsRowFormula>Table95[](Table91[Newtonsoft])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Table95[](Table91[Jil])</totalsRowFormula>
    </tableColumn>
    <tableColumn id="9" name="NetJSON"/>
    <tableColumn id="8" name="Jackson"/>
    <tableColumn id="4" name="DSL-JSON" totalsRowFunction="custom">
      <totalsRowFormula>Table95[](Table91[DSL-JSON])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Table95[](Table91[Gson])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Table95[](Table91[Service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" dataDxfId="47">
      <calculatedColumnFormula>Table95[](Table91[Newtonsoft])</calculatedColumnFormula>
    </tableColumn>
    <tableColumn id="3" name="Revenj" dataDxfId="46"/>
    <tableColumn id="11" name="ProtoBuf (binary reference)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-JSON" dataDxfId="40"/>
    <tableColumn id="9" name="Kryo (binary reference)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 " dataDxfId="35">
      <calculatedColumnFormula>Table95[](Table91[Newtonsoft])</calculatedColumnFormula>
    </tableColumn>
    <tableColumn id="3" name="Revenj" dataDxfId="34"/>
    <tableColumn id="11" name="Protobuf (binary reference)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-JSON" dataDxfId="28"/>
    <tableColumn id="9" name="Kryo (binary reference)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3:M66">
  <autoFilter ref="B63:M66"/>
  <tableColumns count="12">
    <tableColumn id="2" name="Newtonsoft" totalsRowFunction="custom">
      <totalsRowFormula>Table95[](Table93[Newtonsoft])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Table95[](Table93[Jil])</totalsRowFormula>
    </tableColumn>
    <tableColumn id="10" name="NetJSON"/>
    <tableColumn id="15" name="Jackson"/>
    <tableColumn id="6" name="DSL-JSON" totalsRowFunction="custom">
      <totalsRowFormula>Table95[](Table93[DSL-JSON])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4">
  <autoFilter ref="B51:M54"/>
  <tableColumns count="12">
    <tableColumn id="2" name="Newtonsoft" totalsRowFunction="custom">
      <totalsRowFormula>Table95[](Table92[Newtonsoft])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Table95[](Table92[Jil])</totalsRowFormula>
    </tableColumn>
    <tableColumn id="10" name="NetJSON"/>
    <tableColumn id="15" name="Jackson"/>
    <tableColumn id="6" name="DSL-JSON" totalsRowFunction="custom">
      <totalsRowFormula>Table95[](Table92[DSL-JSON])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7:Y60">
  <autoFilter ref="B57:Y60"/>
  <tableColumns count="24">
    <tableColumn id="2" name="Newtonsoft" totalsRowFunction="custom">
      <totalsRowFormula>Table100[](Table96[Newtonsoft])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Table100[](Table96[Jil])</totalsRowFormula>
    </tableColumn>
    <tableColumn id="9" name="NetJSON"/>
    <tableColumn id="8" name="Jackson"/>
    <tableColumn id="4" name="DSL-JSON" totalsRowFunction="custom">
      <totalsRowFormula>Table100[](Table96[DSL-JSON])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Table100[](Table96[Gson])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Table100[](Table96[Service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" dataDxfId="23">
      <calculatedColumnFormula>Table100[](Table96[Newtonsoft])</calculatedColumnFormula>
    </tableColumn>
    <tableColumn id="3" name="Revenj" dataDxfId="22"/>
    <tableColumn id="11" name="ProtoBuf (binary reference)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-JSON" dataDxfId="16"/>
    <tableColumn id="9" name="Kryo (binary reference)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Table100[](Table96[Newtonsoft])</calculatedColumnFormula>
    </tableColumn>
    <tableColumn id="3" name="Revenj" dataDxfId="10"/>
    <tableColumn id="11" name="Protobuf (binary reference)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-JSON" dataDxfId="4"/>
    <tableColumn id="9" name="Kryo (binary reference)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3:M66">
  <autoFilter ref="B63:M66"/>
  <tableColumns count="12">
    <tableColumn id="2" name="Newtonsoft" totalsRowFunction="custom">
      <totalsRowFormula>Table100[](Table98[Newtonsoft])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Table100[](Table98[Jil])</totalsRowFormula>
    </tableColumn>
    <tableColumn id="10" name="NetJSON"/>
    <tableColumn id="15" name="Jackson"/>
    <tableColumn id="6" name="DSL-JSON" totalsRowFunction="custom">
      <totalsRowFormula>Table100[](Table98[DSL-JSON])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3:M66">
  <autoFilter ref="B63:M66"/>
  <tableColumns count="12">
    <tableColumn id="2" name="Newtonsoft" totalsRowFunction="custom">
      <totalsRowFormula>Table20[](Table18[Newtonsoft])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Table20[](Table18[Jil])</totalsRowFormula>
    </tableColumn>
    <tableColumn id="10" name="NetJSON"/>
    <tableColumn id="15" name="Jackson"/>
    <tableColumn id="6" name="DSL-JSON" totalsRowFunction="custom">
      <totalsRowFormula>Table20[](Table18[DSL-JSON])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4">
  <autoFilter ref="B51:M54"/>
  <tableColumns count="12">
    <tableColumn id="2" name="Newtonsoft" totalsRowFunction="custom">
      <totalsRowFormula>Table100[](Table97[Newtonsoft])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Table100[](Table97[Jil])</totalsRowFormula>
    </tableColumn>
    <tableColumn id="10" name="NetJSON"/>
    <tableColumn id="15" name="Jackson"/>
    <tableColumn id="6" name="DSL-JSON" totalsRowFunction="custom">
      <totalsRowFormula>Table100[](Table97[DSL-JSON])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7" Type="http://schemas.openxmlformats.org/officeDocument/2006/relationships/table" Target="../tables/table5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9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7" Type="http://schemas.openxmlformats.org/officeDocument/2006/relationships/table" Target="../tables/table5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7" Type="http://schemas.openxmlformats.org/officeDocument/2006/relationships/table" Target="../tables/table6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9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7" Type="http://schemas.openxmlformats.org/officeDocument/2006/relationships/table" Target="../tables/table70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9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7" Type="http://schemas.openxmlformats.org/officeDocument/2006/relationships/table" Target="../tables/table7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9.xml"/><Relationship Id="rId5" Type="http://schemas.openxmlformats.org/officeDocument/2006/relationships/table" Target="../tables/table78.xml"/><Relationship Id="rId4" Type="http://schemas.openxmlformats.org/officeDocument/2006/relationships/table" Target="../tables/table7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7" Type="http://schemas.openxmlformats.org/officeDocument/2006/relationships/table" Target="../tables/table8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4.xml"/><Relationship Id="rId5" Type="http://schemas.openxmlformats.org/officeDocument/2006/relationships/table" Target="../tables/table83.xml"/><Relationship Id="rId4" Type="http://schemas.openxmlformats.org/officeDocument/2006/relationships/table" Target="../tables/table8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6.xml"/><Relationship Id="rId7" Type="http://schemas.openxmlformats.org/officeDocument/2006/relationships/table" Target="../tables/table9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AVERAGE(Instance[Newtonsoft])</f>
        <v>311.66666666666669</v>
      </c>
      <c r="D38" s="2">
        <f>AVERAGE(Instance[Revenj])</f>
        <v>315</v>
      </c>
      <c r="E38" s="2">
        <f>AVERAGE(Instance[ProtoBuf (binary reference)])</f>
        <v>312</v>
      </c>
      <c r="F38" s="2">
        <f>AVERAGE(Instance[Service Stack])</f>
        <v>316.33333333333331</v>
      </c>
      <c r="G38" s="2">
        <f>AVERAGE(Instance[Jil])</f>
        <v>318</v>
      </c>
      <c r="H38" s="2">
        <f>AVERAGE(Instance[NetJSON])</f>
        <v>317.66666666666669</v>
      </c>
      <c r="I38" s="2">
        <f>AVERAGE(Instance[Jackson])</f>
        <v>0</v>
      </c>
      <c r="J38" s="2">
        <f>AVERAGE(Instance[DSL-JSON])</f>
        <v>1</v>
      </c>
      <c r="K38" s="2">
        <f>AVERAGE(Instance[Kryo (binary reference)])</f>
        <v>1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 x14ac:dyDescent="0.25">
      <c r="B39" t="s">
        <v>0</v>
      </c>
      <c r="C39" s="2">
        <f>AVERAGE(Serialization[Newtonsoft]) - C38</f>
        <v>233.99999999999994</v>
      </c>
      <c r="D39" s="2">
        <f>AVERAGE(Serialization[Revenj]) - D38</f>
        <v>2</v>
      </c>
      <c r="E39" s="2">
        <f>AVERAGE(Serialization[ProtoBuf (binary reference)]) - E38</f>
        <v>103</v>
      </c>
      <c r="F39" s="2">
        <f>AVERAGE(Serialization[Service Stack]) - F38</f>
        <v>108.33333333333337</v>
      </c>
      <c r="G39" s="2">
        <f>AVERAGE(Serialization[Jil]) - G38</f>
        <v>370.66666666666663</v>
      </c>
      <c r="H39" s="2">
        <f>AVERAGE(Serialization[NetJSON]) - H38</f>
        <v>93.333333333333314</v>
      </c>
      <c r="I39" s="2">
        <f>AVERAGE(Serialization[Jackson]) - I38</f>
        <v>85.333333333333329</v>
      </c>
      <c r="J39" s="2">
        <f>AVERAGE(Serialization[DSL-JSON]) - J38</f>
        <v>0</v>
      </c>
      <c r="K39" s="2">
        <f>AVERAGE(Serialization[Kryo (binary reference)]) - K38</f>
        <v>13</v>
      </c>
      <c r="L39" s="2">
        <f>AVERAGE(Serialization[Boon]) - L38</f>
        <v>60.333333333333336</v>
      </c>
      <c r="M39" s="2">
        <f>AVERAGE(Serialization[Alibaba]) - M38</f>
        <v>156.33333333333334</v>
      </c>
      <c r="N39" s="2">
        <f>AVERAGE(Serialization[Gson]) - N38</f>
        <v>27.666666666666668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3.6666666666667425</v>
      </c>
      <c r="D40" s="2">
        <f t="shared" si="0"/>
        <v>16.666666666666686</v>
      </c>
      <c r="E40" s="2">
        <f t="shared" ref="E40" si="1">E41 - E39 - E38</f>
        <v>7.6666666666666856</v>
      </c>
      <c r="F40" s="2">
        <f t="shared" si="0"/>
        <v>37.666666666666629</v>
      </c>
      <c r="G40" s="2">
        <f t="shared" si="0"/>
        <v>142.33333333333337</v>
      </c>
      <c r="H40" s="2">
        <f t="shared" si="0"/>
        <v>4.3333333333333144</v>
      </c>
      <c r="I40" s="2">
        <f t="shared" ref="I40" si="2">I41 - I39 - I38</f>
        <v>32</v>
      </c>
      <c r="J40" s="2">
        <f t="shared" ref="J40" si="3">J41 - J39 - J38</f>
        <v>1</v>
      </c>
      <c r="K40" s="2">
        <f t="shared" ref="K40:L40" si="4">K41 - K39 - K38</f>
        <v>17</v>
      </c>
      <c r="L40" s="2">
        <f t="shared" si="4"/>
        <v>30.999999999999993</v>
      </c>
      <c r="M40" s="2">
        <f t="shared" ref="M40" si="5">M41 - M39 - M38</f>
        <v>10.666666666666657</v>
      </c>
      <c r="N40" s="2">
        <f t="shared" ref="N40" si="6">N41 - N39 - N38</f>
        <v>2</v>
      </c>
      <c r="O40" s="2"/>
      <c r="P40" s="2"/>
      <c r="Q40" s="2"/>
    </row>
    <row r="41" spans="2:17" x14ac:dyDescent="0.25">
      <c r="B41" t="s">
        <v>23</v>
      </c>
      <c r="C41" s="2">
        <f>AVERAGE(Both[Newtonsoft])</f>
        <v>549.33333333333337</v>
      </c>
      <c r="D41" s="2">
        <f>AVERAGE(Both[Revenj])</f>
        <v>333.66666666666669</v>
      </c>
      <c r="E41" s="2">
        <f>AVERAGE(Both[ProtoBuf (binary reference)])</f>
        <v>422.66666666666669</v>
      </c>
      <c r="F41" s="2">
        <f>AVERAGE(Both[Service Stack])</f>
        <v>462.33333333333331</v>
      </c>
      <c r="G41" s="2">
        <f>AVERAGE(Both[Jil])</f>
        <v>831</v>
      </c>
      <c r="H41" s="2">
        <f>AVERAGE(Both[NetJSON])</f>
        <v>415.33333333333331</v>
      </c>
      <c r="I41" s="2">
        <f>AVERAGE(Both[Jackson])</f>
        <v>117.33333333333333</v>
      </c>
      <c r="J41" s="2">
        <f>AVERAGE(Both[DSL-JSON])</f>
        <v>2</v>
      </c>
      <c r="K41" s="2">
        <f>AVERAGE(Both[Kryo (binary reference)])</f>
        <v>31</v>
      </c>
      <c r="L41" s="2">
        <f>AVERAGE(Both[Boon])</f>
        <v>92.333333333333329</v>
      </c>
      <c r="M41" s="2">
        <f>AVERAGE(Both[Alibaba])</f>
        <v>168</v>
      </c>
      <c r="N41" s="2">
        <f>AVERAGE(Both[Gson])</f>
        <v>30.666666666666668</v>
      </c>
      <c r="O41" s="2"/>
      <c r="P41" s="2"/>
      <c r="Q41" s="2"/>
    </row>
    <row r="42" spans="2:17" x14ac:dyDescent="0.25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AVERAGE(Serialization[ProtoBuf (size)])</f>
        <v>16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40</v>
      </c>
      <c r="J42" s="2">
        <f>AVERAGE(Serialization[DSL-JSON (size)])</f>
        <v>28</v>
      </c>
      <c r="K42" s="2">
        <f>AVERAGE(Serialization[Kryo (size)])</f>
        <v>15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DEVSQ(Serialization[Newtonsoft])</f>
        <v>25092.666666666664</v>
      </c>
      <c r="D47" s="2">
        <f>DEVSQ(Serialization[Revenj])</f>
        <v>0</v>
      </c>
      <c r="E47" s="2">
        <f>DEVSQ(Serialization[ProtoBuf (binary reference)])</f>
        <v>2</v>
      </c>
      <c r="F47" s="2">
        <f>DEVSQ(Serialization[Service Stack])</f>
        <v>268.66666666666663</v>
      </c>
      <c r="G47" s="2">
        <f>DEVSQ(Serialization[Jil])</f>
        <v>18.666666666666664</v>
      </c>
      <c r="H47" s="2">
        <f>DEVSQ(Serialization[NetJSON])</f>
        <v>8</v>
      </c>
      <c r="I47" s="2">
        <f>DEVSQ(Serialization[Jackson])</f>
        <v>0.66666666666666663</v>
      </c>
      <c r="J47" s="2">
        <f>DEVSQ(Serialization[DSL-JSON])</f>
        <v>0</v>
      </c>
      <c r="K47" s="2">
        <f>DEVSQ(Serialization[Kryo (binary reference)])</f>
        <v>0</v>
      </c>
      <c r="L47" s="2">
        <f>DEVSQ(Serialization[Boon])</f>
        <v>0.66666666666666674</v>
      </c>
      <c r="M47" s="2">
        <f>DEVSQ(Serialization[Alibaba])</f>
        <v>324.66666666666663</v>
      </c>
      <c r="N47" s="2">
        <f>DEVSQ(Serialization[Gson])</f>
        <v>2.6666666666666665</v>
      </c>
      <c r="O47" s="2"/>
      <c r="P47" s="2"/>
      <c r="Q47" s="2"/>
    </row>
    <row r="48" spans="2:17" x14ac:dyDescent="0.25">
      <c r="B48" t="s">
        <v>23</v>
      </c>
      <c r="C48" s="2">
        <f>DEVSQ(Both[Newtonsoft])</f>
        <v>8.6666666666666679</v>
      </c>
      <c r="D48" s="2">
        <f>DEVSQ(Both[Revenj])</f>
        <v>2.666666666666667</v>
      </c>
      <c r="E48" s="2">
        <f>DEVSQ(Both[ProtoBuf (binary reference)])</f>
        <v>8.6666666666666661</v>
      </c>
      <c r="F48" s="2">
        <f>DEVSQ(Both[Service Stack])</f>
        <v>2.666666666666667</v>
      </c>
      <c r="G48" s="2">
        <f>DEVSQ(Both[Jil])</f>
        <v>122</v>
      </c>
      <c r="H48" s="2">
        <f>DEVSQ(Both[NetJSON])</f>
        <v>0.66666666666666674</v>
      </c>
      <c r="I48" s="2">
        <f>DEVSQ(Both[Jackson])</f>
        <v>2.666666666666667</v>
      </c>
      <c r="J48" s="2">
        <f>DEVSQ(Both[DSL-JSON])</f>
        <v>0</v>
      </c>
      <c r="K48" s="2">
        <f>DEVSQ(Both[Kryo (binary reference)])</f>
        <v>2</v>
      </c>
      <c r="L48" s="2">
        <f>DEVSQ(Both[Boon])</f>
        <v>8.6666666666666661</v>
      </c>
      <c r="M48" s="2">
        <f>DEVSQ(Both[Alibaba])</f>
        <v>2</v>
      </c>
      <c r="N48" s="2">
        <f>DEVSQ(Both[Gson])</f>
        <v>0.66666666666666674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312</v>
      </c>
      <c r="C52">
        <v>312</v>
      </c>
      <c r="D52">
        <v>312</v>
      </c>
      <c r="E52">
        <v>317</v>
      </c>
      <c r="F52">
        <v>320</v>
      </c>
      <c r="G52">
        <v>317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2:25" x14ac:dyDescent="0.25">
      <c r="B53">
        <v>312</v>
      </c>
      <c r="C53">
        <v>318</v>
      </c>
      <c r="D53">
        <v>313</v>
      </c>
      <c r="E53">
        <v>316</v>
      </c>
      <c r="F53">
        <v>316</v>
      </c>
      <c r="G53">
        <v>317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2:25" x14ac:dyDescent="0.25">
      <c r="B54">
        <v>311</v>
      </c>
      <c r="C54">
        <v>315</v>
      </c>
      <c r="D54">
        <v>311</v>
      </c>
      <c r="E54">
        <v>316</v>
      </c>
      <c r="F54">
        <v>318</v>
      </c>
      <c r="G54">
        <v>319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675</v>
      </c>
      <c r="C58">
        <v>317</v>
      </c>
      <c r="D58">
        <v>414</v>
      </c>
      <c r="E58">
        <v>438</v>
      </c>
      <c r="F58">
        <v>692</v>
      </c>
      <c r="G58">
        <v>411</v>
      </c>
      <c r="H58">
        <v>85</v>
      </c>
      <c r="I58">
        <v>1</v>
      </c>
      <c r="J58">
        <v>14</v>
      </c>
      <c r="K58">
        <v>62</v>
      </c>
      <c r="L58">
        <v>172</v>
      </c>
      <c r="M58">
        <v>30</v>
      </c>
      <c r="N58">
        <v>40</v>
      </c>
      <c r="O58">
        <v>28</v>
      </c>
      <c r="P58">
        <v>16</v>
      </c>
      <c r="Q58">
        <v>40</v>
      </c>
      <c r="R58">
        <v>40</v>
      </c>
      <c r="S58">
        <v>28</v>
      </c>
      <c r="T58">
        <v>40</v>
      </c>
      <c r="U58">
        <v>28</v>
      </c>
      <c r="V58">
        <v>15</v>
      </c>
      <c r="W58">
        <v>28</v>
      </c>
      <c r="X58">
        <v>40</v>
      </c>
      <c r="Y58">
        <v>40</v>
      </c>
    </row>
    <row r="59" spans="2:25" x14ac:dyDescent="0.25">
      <c r="B59">
        <v>480</v>
      </c>
      <c r="C59">
        <v>317</v>
      </c>
      <c r="D59">
        <v>416</v>
      </c>
      <c r="E59">
        <v>419</v>
      </c>
      <c r="F59">
        <v>686</v>
      </c>
      <c r="G59">
        <v>409</v>
      </c>
      <c r="H59">
        <v>86</v>
      </c>
      <c r="I59">
        <v>1</v>
      </c>
      <c r="J59">
        <v>14</v>
      </c>
      <c r="K59">
        <v>61</v>
      </c>
      <c r="L59">
        <v>151</v>
      </c>
      <c r="M59">
        <v>28</v>
      </c>
      <c r="N59">
        <v>40</v>
      </c>
      <c r="O59">
        <v>28</v>
      </c>
      <c r="P59">
        <v>16</v>
      </c>
      <c r="Q59">
        <v>40</v>
      </c>
      <c r="R59">
        <v>40</v>
      </c>
      <c r="S59">
        <v>28</v>
      </c>
      <c r="T59">
        <v>40</v>
      </c>
      <c r="U59">
        <v>28</v>
      </c>
      <c r="V59">
        <v>15</v>
      </c>
      <c r="W59">
        <v>28</v>
      </c>
      <c r="X59">
        <v>40</v>
      </c>
      <c r="Y59">
        <v>40</v>
      </c>
    </row>
    <row r="60" spans="2:25" x14ac:dyDescent="0.25">
      <c r="B60">
        <v>482</v>
      </c>
      <c r="C60">
        <v>317</v>
      </c>
      <c r="D60">
        <v>415</v>
      </c>
      <c r="E60">
        <v>417</v>
      </c>
      <c r="F60">
        <v>688</v>
      </c>
      <c r="G60">
        <v>413</v>
      </c>
      <c r="H60">
        <v>85</v>
      </c>
      <c r="I60">
        <v>1</v>
      </c>
      <c r="J60">
        <v>14</v>
      </c>
      <c r="K60">
        <v>61</v>
      </c>
      <c r="L60">
        <v>149</v>
      </c>
      <c r="M60">
        <v>28</v>
      </c>
      <c r="N60">
        <v>40</v>
      </c>
      <c r="O60">
        <v>28</v>
      </c>
      <c r="P60">
        <v>16</v>
      </c>
      <c r="Q60">
        <v>40</v>
      </c>
      <c r="R60">
        <v>40</v>
      </c>
      <c r="S60">
        <v>28</v>
      </c>
      <c r="T60">
        <v>40</v>
      </c>
      <c r="U60">
        <v>28</v>
      </c>
      <c r="V60">
        <v>15</v>
      </c>
      <c r="W60">
        <v>28</v>
      </c>
      <c r="X60">
        <v>40</v>
      </c>
      <c r="Y60">
        <v>40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547</v>
      </c>
      <c r="C64">
        <v>335</v>
      </c>
      <c r="D64">
        <v>425</v>
      </c>
      <c r="E64">
        <v>463</v>
      </c>
      <c r="F64">
        <v>840</v>
      </c>
      <c r="G64">
        <v>415</v>
      </c>
      <c r="H64">
        <v>118</v>
      </c>
      <c r="I64">
        <v>2</v>
      </c>
      <c r="J64">
        <v>32</v>
      </c>
      <c r="K64">
        <v>90</v>
      </c>
      <c r="L64">
        <v>169</v>
      </c>
      <c r="M64">
        <v>30</v>
      </c>
    </row>
    <row r="65" spans="2:13" x14ac:dyDescent="0.25">
      <c r="B65">
        <v>550</v>
      </c>
      <c r="C65">
        <v>333</v>
      </c>
      <c r="D65">
        <v>422</v>
      </c>
      <c r="E65">
        <v>461</v>
      </c>
      <c r="F65">
        <v>827</v>
      </c>
      <c r="G65">
        <v>415</v>
      </c>
      <c r="H65">
        <v>116</v>
      </c>
      <c r="I65">
        <v>2</v>
      </c>
      <c r="J65">
        <v>30</v>
      </c>
      <c r="K65">
        <v>94</v>
      </c>
      <c r="L65">
        <v>168</v>
      </c>
      <c r="M65">
        <v>31</v>
      </c>
    </row>
    <row r="66" spans="2:13" x14ac:dyDescent="0.25">
      <c r="B66">
        <v>551</v>
      </c>
      <c r="C66">
        <v>333</v>
      </c>
      <c r="D66">
        <v>421</v>
      </c>
      <c r="E66">
        <v>463</v>
      </c>
      <c r="F66">
        <v>826</v>
      </c>
      <c r="G66">
        <v>416</v>
      </c>
      <c r="H66">
        <v>118</v>
      </c>
      <c r="I66">
        <v>2</v>
      </c>
      <c r="J66">
        <v>31</v>
      </c>
      <c r="K66">
        <v>93</v>
      </c>
      <c r="L66">
        <v>167</v>
      </c>
      <c r="M66">
        <v>31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45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AVERAGE(Table57[Newtonsoft])</f>
        <v>8132</v>
      </c>
      <c r="D38" s="2">
        <f>AVERAGE(Table57[Revenj])</f>
        <v>8452.6666666666661</v>
      </c>
      <c r="E38" s="2">
        <f>AVERAGE(Table57[ProtoBuf (binary reference)])</f>
        <v>8024</v>
      </c>
      <c r="F38" s="2">
        <f>AVERAGE(Table57[Service Stack])</f>
        <v>7988.333333333333</v>
      </c>
      <c r="G38" s="2">
        <f>AVERAGE(Table57[Jil])</f>
        <v>7991.333333333333</v>
      </c>
      <c r="H38" s="2">
        <f>AVERAGE(Table57[NetJSON])</f>
        <v>7893.666666666667</v>
      </c>
      <c r="I38" s="2">
        <f>AVERAGE(Table57[Jackson])</f>
        <v>5186.666666666667</v>
      </c>
      <c r="J38" s="2">
        <f>AVERAGE(Table57[DSL-JSON])</f>
        <v>5033.333333333333</v>
      </c>
      <c r="K38" s="2">
        <f>AVERAGE(Table57[Kryo (binary reference)])</f>
        <v>5239</v>
      </c>
      <c r="L38" s="2">
        <f>AVERAGE(Table57[Boon])</f>
        <v>5040.666666666667</v>
      </c>
      <c r="M38" s="2">
        <f>AVERAGE(Table57[Alibaba])</f>
        <v>5140.333333333333</v>
      </c>
      <c r="N38" s="2">
        <f>AVERAGE(Table57[Gson])</f>
        <v>5120</v>
      </c>
      <c r="O38" s="2"/>
      <c r="P38" s="2"/>
      <c r="Q38" s="2"/>
    </row>
    <row r="39" spans="2:17" x14ac:dyDescent="0.25">
      <c r="B39" t="s">
        <v>0</v>
      </c>
      <c r="C39" s="2">
        <f>AVERAGE(Table56[Newtonsoft]) - C38</f>
        <v>31641.666666666664</v>
      </c>
      <c r="D39" s="2">
        <f>AVERAGE(Table56[Revenj]) - D38</f>
        <v>9255.6666666666661</v>
      </c>
      <c r="E39" s="2">
        <f>AVERAGE(Table56[ProtoBuf (binary reference)]) - E38</f>
        <v>8532.6666666666679</v>
      </c>
      <c r="F39" s="2">
        <f>AVERAGE(Table56[Service Stack]) - F38</f>
        <v>29590.333333333332</v>
      </c>
      <c r="G39" s="2">
        <f>AVERAGE(Table56[Jil]) - G38</f>
        <v>20929.666666666668</v>
      </c>
      <c r="H39" s="2">
        <f>AVERAGE(Table56[NetJSON]) - H38</f>
        <v>20310.666666666664</v>
      </c>
      <c r="I39" s="2">
        <f>AVERAGE(Table56[Jackson]) - I38</f>
        <v>10752</v>
      </c>
      <c r="J39" s="2">
        <f>AVERAGE(Table56[DSL-JSON]) - J38</f>
        <v>3119.666666666667</v>
      </c>
      <c r="K39" s="2">
        <f>AVERAGE(Table56[Kryo (binary reference)]) - K38</f>
        <v>2916.333333333333</v>
      </c>
      <c r="L39" s="2">
        <f>AVERAGE(Table56[Boon]) - L38</f>
        <v>36756.666666666672</v>
      </c>
      <c r="M39" s="4">
        <f>AVERAGE(Table56[Alibaba]) - M38</f>
        <v>39978.333333333328</v>
      </c>
      <c r="N39" s="2">
        <f>AVERAGE(Table56[Gson]) - N38</f>
        <v>53794.666666666664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76448</v>
      </c>
      <c r="D40" s="2">
        <f t="shared" si="0"/>
        <v>17787.000000000007</v>
      </c>
      <c r="E40" s="2">
        <f t="shared" ref="E40" si="1">E41 - E39 - E38</f>
        <v>17525.333333333332</v>
      </c>
      <c r="F40" s="2">
        <f t="shared" si="0"/>
        <v>59270.666666666664</v>
      </c>
      <c r="G40" s="2">
        <f t="shared" si="0"/>
        <v>31256.333333333339</v>
      </c>
      <c r="H40" s="2">
        <f t="shared" si="0"/>
        <v>85417.666666666672</v>
      </c>
      <c r="I40" s="2">
        <f t="shared" ref="I40" si="2">I41 - I39 - I38</f>
        <v>27167.999999999996</v>
      </c>
      <c r="J40" s="2">
        <f t="shared" ref="J40" si="3">J41 - J39 - J38</f>
        <v>4500.3333333333348</v>
      </c>
      <c r="K40" s="2">
        <f t="shared" ref="K40:L40" si="4">K41 - K39 - K38</f>
        <v>3914.6666666666679</v>
      </c>
      <c r="L40" s="2" t="e">
        <f t="shared" si="4"/>
        <v>#DIV/0!</v>
      </c>
      <c r="M40" s="2">
        <f t="shared" ref="M40" si="5">M41 - M39 - M38</f>
        <v>38705.666666666664</v>
      </c>
      <c r="N40" s="2">
        <f t="shared" ref="N40" si="6">N41 - N39 - N38</f>
        <v>48146.333333333336</v>
      </c>
      <c r="O40" s="2"/>
      <c r="P40" s="2"/>
      <c r="Q40" s="2"/>
    </row>
    <row r="41" spans="2:17" x14ac:dyDescent="0.25">
      <c r="B41" t="s">
        <v>23</v>
      </c>
      <c r="C41" s="2">
        <f>AVERAGE(Table58[Newtonsoft])</f>
        <v>116221.66666666667</v>
      </c>
      <c r="D41" s="2">
        <f>AVERAGE(Table58[Revenj])</f>
        <v>35495.333333333336</v>
      </c>
      <c r="E41" s="2">
        <f>AVERAGE(Table58[ProtoBuf (binary reference)])</f>
        <v>34082</v>
      </c>
      <c r="F41" s="2">
        <f>AVERAGE(Table58[Service Stack])</f>
        <v>96849.333333333328</v>
      </c>
      <c r="G41" s="2">
        <f>AVERAGE(Table58[Jil])</f>
        <v>60177.333333333336</v>
      </c>
      <c r="H41" s="2">
        <f>AVERAGE(Table58[NetJSON])</f>
        <v>113622</v>
      </c>
      <c r="I41" s="2">
        <f>AVERAGE(Table58[Jackson])</f>
        <v>43106.666666666664</v>
      </c>
      <c r="J41" s="2">
        <f>AVERAGE(Table58[DSL-JSON])</f>
        <v>12653.333333333334</v>
      </c>
      <c r="K41" s="2">
        <f>AVERAGE(Table58[Kryo (binary reference)])</f>
        <v>12070</v>
      </c>
      <c r="L41" s="2" t="e">
        <f>AVERAGE(Table58[Boon])</f>
        <v>#DIV/0!</v>
      </c>
      <c r="M41" s="4">
        <f>AVERAGE(Table58[Alibaba])</f>
        <v>83824.333333333328</v>
      </c>
      <c r="N41" s="2">
        <f>AVERAGE(Table58[Gson])</f>
        <v>107061</v>
      </c>
      <c r="O41" s="2"/>
      <c r="P41" s="2"/>
      <c r="Q41" s="2"/>
    </row>
    <row r="42" spans="2:17" x14ac:dyDescent="0.25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AVERAGE(Table56[ProtoBuf (size)])</f>
        <v>468888890</v>
      </c>
      <c r="F42" s="3">
        <f>AVERAGE(Table56[Service Stack (size)])</f>
        <v>1203888890</v>
      </c>
      <c r="G42" s="2">
        <f>AVERAGE(Table56[Jil (size)])</f>
        <v>1213888890</v>
      </c>
      <c r="H42" s="2">
        <f>AVERAGE(Table56[NetJSON (size)])</f>
        <v>1148888890</v>
      </c>
      <c r="I42" s="2">
        <f>AVERAGE(Table56[Jackson (size)])</f>
        <v>1113888890</v>
      </c>
      <c r="J42" s="2">
        <f>AVERAGE(Table56[DSL-JSON (size)])</f>
        <v>1038888890</v>
      </c>
      <c r="K42" s="2">
        <f>AVERAGE(Table56[Kryo (size)])</f>
        <v>408888890</v>
      </c>
      <c r="L42" s="2">
        <f>AVERAGE(Table56[Boon (size)])</f>
        <v>918888890</v>
      </c>
      <c r="M42" s="4">
        <f>AVERAGE(Table56[Alibaba (size)])</f>
        <v>1113888890</v>
      </c>
      <c r="N42" s="2">
        <f>AVERAGE(Table56[Gson (size)])</f>
        <v>1113888890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DEVSQ(Table56[Newtonsoft])</f>
        <v>390244.66666666669</v>
      </c>
      <c r="D47" s="2">
        <f>DEVSQ(Table56[Revenj])</f>
        <v>10688.666666666668</v>
      </c>
      <c r="E47" s="2">
        <f>DEVSQ(Table56[ProtoBuf (binary reference)])</f>
        <v>2772.666666666667</v>
      </c>
      <c r="F47" s="2">
        <f>DEVSQ(Table56[Service Stack])</f>
        <v>19682.666666666668</v>
      </c>
      <c r="G47" s="2">
        <f>DEVSQ(Table56[Jil])</f>
        <v>105902</v>
      </c>
      <c r="H47" s="2">
        <f>DEVSQ(Table56[NetJSON])</f>
        <v>6474.666666666667</v>
      </c>
      <c r="I47" s="2">
        <f>DEVSQ(Table56[Jackson])</f>
        <v>51584.666666666664</v>
      </c>
      <c r="J47" s="2">
        <f>DEVSQ(Table56[DSL-JSON])</f>
        <v>12066</v>
      </c>
      <c r="K47" s="2">
        <f>DEVSQ(Table56[Kryo (binary reference)])</f>
        <v>52380.666666666657</v>
      </c>
      <c r="L47" s="2">
        <f>DEVSQ(Table56[Boon])</f>
        <v>4777570.666666667</v>
      </c>
      <c r="M47" s="2">
        <f>DEVSQ(Table56[Alibaba])</f>
        <v>10771168.666666668</v>
      </c>
      <c r="N47" s="2">
        <f>DEVSQ(Table56[Gson])</f>
        <v>1693650.666666667</v>
      </c>
      <c r="O47" s="2"/>
      <c r="P47" s="2"/>
      <c r="Q47" s="2"/>
    </row>
    <row r="48" spans="2:17" x14ac:dyDescent="0.25">
      <c r="B48" t="s">
        <v>23</v>
      </c>
      <c r="C48" s="2">
        <f>DEVSQ(Table58[Newtonsoft])</f>
        <v>27220.666666666668</v>
      </c>
      <c r="D48" s="2">
        <f>DEVSQ(Table58[Revenj])</f>
        <v>11308.666666666668</v>
      </c>
      <c r="E48" s="2">
        <f>DEVSQ(Table58[ProtoBuf (binary reference)])</f>
        <v>20646</v>
      </c>
      <c r="F48" s="2">
        <f>DEVSQ(Table58[Service Stack])</f>
        <v>30364.666666666672</v>
      </c>
      <c r="G48" s="2">
        <f>DEVSQ(Table58[Jil])</f>
        <v>7634.6666666666679</v>
      </c>
      <c r="H48" s="2">
        <f>DEVSQ(Table58[NetJSON])</f>
        <v>15398</v>
      </c>
      <c r="I48" s="2">
        <f>DEVSQ(Table58[Jackson])</f>
        <v>2226684.666666667</v>
      </c>
      <c r="J48" s="2">
        <f>DEVSQ(Table58[DSL-JSON])</f>
        <v>239020.66666666669</v>
      </c>
      <c r="K48" s="2">
        <f>DEVSQ(Table58[Kryo (binary reference)])</f>
        <v>581906</v>
      </c>
      <c r="L48" s="2" t="e">
        <f>DEVSQ(Table58[Boon])</f>
        <v>#NUM!</v>
      </c>
      <c r="M48" s="2">
        <f>DEVSQ(Table58[Alibaba])</f>
        <v>64878514.666666657</v>
      </c>
      <c r="N48" s="2">
        <f>DEVSQ(Table58[Gson])</f>
        <v>2422566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8133</v>
      </c>
      <c r="C52">
        <v>8328</v>
      </c>
      <c r="D52">
        <v>8013</v>
      </c>
      <c r="E52">
        <v>8046</v>
      </c>
      <c r="F52">
        <v>7994</v>
      </c>
      <c r="G52">
        <v>7880</v>
      </c>
      <c r="H52">
        <v>5345</v>
      </c>
      <c r="I52">
        <v>5022</v>
      </c>
      <c r="J52">
        <v>5528</v>
      </c>
      <c r="K52">
        <v>5065</v>
      </c>
      <c r="L52">
        <v>5134</v>
      </c>
      <c r="M52">
        <v>5032</v>
      </c>
    </row>
    <row r="53" spans="2:25" x14ac:dyDescent="0.25">
      <c r="B53">
        <v>8139</v>
      </c>
      <c r="C53">
        <v>8748</v>
      </c>
      <c r="D53">
        <v>8029</v>
      </c>
      <c r="E53">
        <v>7960</v>
      </c>
      <c r="F53">
        <v>7982</v>
      </c>
      <c r="G53">
        <v>7902</v>
      </c>
      <c r="H53">
        <v>5031</v>
      </c>
      <c r="I53">
        <v>5044</v>
      </c>
      <c r="J53">
        <v>5109</v>
      </c>
      <c r="K53">
        <v>5042</v>
      </c>
      <c r="L53">
        <v>5252</v>
      </c>
      <c r="M53">
        <v>5209</v>
      </c>
    </row>
    <row r="54" spans="2:25" x14ac:dyDescent="0.25">
      <c r="B54">
        <v>8124</v>
      </c>
      <c r="C54">
        <v>8282</v>
      </c>
      <c r="D54">
        <v>8030</v>
      </c>
      <c r="E54">
        <v>7959</v>
      </c>
      <c r="F54">
        <v>7998</v>
      </c>
      <c r="G54">
        <v>7899</v>
      </c>
      <c r="H54">
        <v>5184</v>
      </c>
      <c r="I54">
        <v>5034</v>
      </c>
      <c r="J54">
        <v>5080</v>
      </c>
      <c r="K54">
        <v>5015</v>
      </c>
      <c r="L54">
        <v>5035</v>
      </c>
      <c r="M54">
        <v>5119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39324</v>
      </c>
      <c r="C58">
        <v>17686</v>
      </c>
      <c r="D58">
        <v>16529</v>
      </c>
      <c r="E58">
        <v>37586</v>
      </c>
      <c r="F58">
        <v>28871</v>
      </c>
      <c r="G58">
        <v>28243</v>
      </c>
      <c r="H58">
        <v>16109</v>
      </c>
      <c r="I58">
        <v>8182</v>
      </c>
      <c r="J58">
        <v>8021</v>
      </c>
      <c r="K58">
        <v>42546</v>
      </c>
      <c r="L58">
        <v>47787</v>
      </c>
      <c r="M58">
        <v>58114</v>
      </c>
      <c r="N58">
        <v>1213888890</v>
      </c>
      <c r="O58">
        <v>1038888890</v>
      </c>
      <c r="P58">
        <v>468888890</v>
      </c>
      <c r="Q58">
        <v>1203888890</v>
      </c>
      <c r="R58">
        <v>1213888890</v>
      </c>
      <c r="S58">
        <v>1148888890</v>
      </c>
      <c r="T58">
        <v>1113888890</v>
      </c>
      <c r="U58">
        <v>1038888890</v>
      </c>
      <c r="V58">
        <v>408888890</v>
      </c>
      <c r="W58">
        <v>918888890</v>
      </c>
      <c r="X58">
        <v>1113888890</v>
      </c>
      <c r="Y58">
        <v>1113888890</v>
      </c>
    </row>
    <row r="59" spans="2:25" x14ac:dyDescent="0.25">
      <c r="B59">
        <v>39790</v>
      </c>
      <c r="C59">
        <v>17649</v>
      </c>
      <c r="D59">
        <v>16542</v>
      </c>
      <c r="E59">
        <v>37674</v>
      </c>
      <c r="F59">
        <v>28720</v>
      </c>
      <c r="G59">
        <v>28139</v>
      </c>
      <c r="H59">
        <v>15790</v>
      </c>
      <c r="I59">
        <v>8212</v>
      </c>
      <c r="J59">
        <v>8335</v>
      </c>
      <c r="K59">
        <v>40020</v>
      </c>
      <c r="L59">
        <v>43998</v>
      </c>
      <c r="M59">
        <v>59920</v>
      </c>
      <c r="N59">
        <v>1213888890</v>
      </c>
      <c r="O59">
        <v>1038888890</v>
      </c>
      <c r="P59">
        <v>468888890</v>
      </c>
      <c r="Q59">
        <v>1203888890</v>
      </c>
      <c r="R59">
        <v>1213888890</v>
      </c>
      <c r="S59">
        <v>1148888890</v>
      </c>
      <c r="T59">
        <v>1113888890</v>
      </c>
      <c r="U59">
        <v>1038888890</v>
      </c>
      <c r="V59">
        <v>408888890</v>
      </c>
      <c r="W59">
        <v>918888890</v>
      </c>
      <c r="X59">
        <v>1113888890</v>
      </c>
      <c r="Y59">
        <v>1113888890</v>
      </c>
    </row>
    <row r="60" spans="2:25" x14ac:dyDescent="0.25">
      <c r="B60">
        <v>40207</v>
      </c>
      <c r="C60">
        <v>17790</v>
      </c>
      <c r="D60">
        <v>16599</v>
      </c>
      <c r="E60">
        <v>37476</v>
      </c>
      <c r="F60">
        <v>29172</v>
      </c>
      <c r="G60">
        <v>28231</v>
      </c>
      <c r="H60">
        <v>15917</v>
      </c>
      <c r="I60">
        <v>8065</v>
      </c>
      <c r="J60">
        <v>8110</v>
      </c>
      <c r="K60">
        <v>42826</v>
      </c>
      <c r="L60">
        <v>43571</v>
      </c>
      <c r="M60">
        <v>58710</v>
      </c>
      <c r="N60">
        <v>1213888890</v>
      </c>
      <c r="O60">
        <v>1038888890</v>
      </c>
      <c r="P60">
        <v>468888890</v>
      </c>
      <c r="Q60">
        <v>1203888890</v>
      </c>
      <c r="R60">
        <v>1213888890</v>
      </c>
      <c r="S60">
        <v>1148888890</v>
      </c>
      <c r="T60">
        <v>1113888890</v>
      </c>
      <c r="U60">
        <v>1038888890</v>
      </c>
      <c r="V60">
        <v>408888890</v>
      </c>
      <c r="W60">
        <v>918888890</v>
      </c>
      <c r="X60">
        <v>1113888890</v>
      </c>
      <c r="Y60">
        <v>1113888890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116292</v>
      </c>
      <c r="C64">
        <v>35477</v>
      </c>
      <c r="D64">
        <v>33968</v>
      </c>
      <c r="E64">
        <v>96716</v>
      </c>
      <c r="F64">
        <v>60166</v>
      </c>
      <c r="G64">
        <v>113544</v>
      </c>
      <c r="H64">
        <v>44325</v>
      </c>
      <c r="I64">
        <v>12667</v>
      </c>
      <c r="J64">
        <v>12046</v>
      </c>
      <c r="L64">
        <v>82293</v>
      </c>
      <c r="M64">
        <v>107790</v>
      </c>
    </row>
    <row r="65" spans="2:13" x14ac:dyDescent="0.25">
      <c r="B65">
        <v>116286</v>
      </c>
      <c r="C65">
        <v>35578</v>
      </c>
      <c r="D65">
        <v>34163</v>
      </c>
      <c r="E65">
        <v>96873</v>
      </c>
      <c r="F65">
        <v>60244</v>
      </c>
      <c r="G65">
        <v>113605</v>
      </c>
      <c r="H65">
        <v>42488</v>
      </c>
      <c r="I65">
        <v>12301</v>
      </c>
      <c r="J65">
        <v>11543</v>
      </c>
      <c r="L65">
        <v>90129</v>
      </c>
      <c r="M65">
        <v>107598</v>
      </c>
    </row>
    <row r="66" spans="2:13" x14ac:dyDescent="0.25">
      <c r="B66">
        <v>116087</v>
      </c>
      <c r="C66">
        <v>35431</v>
      </c>
      <c r="D66">
        <v>34115</v>
      </c>
      <c r="E66">
        <v>96959</v>
      </c>
      <c r="F66">
        <v>60122</v>
      </c>
      <c r="G66">
        <v>113717</v>
      </c>
      <c r="H66">
        <v>42507</v>
      </c>
      <c r="I66">
        <v>12992</v>
      </c>
      <c r="J66">
        <v>12621</v>
      </c>
      <c r="L66">
        <v>79051</v>
      </c>
      <c r="M66">
        <v>105795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AVERAGE(Table62[Newtonsoft])</f>
        <v>473</v>
      </c>
      <c r="D38" s="2">
        <f>AVERAGE(Table62[Revenj])</f>
        <v>474.66666666666669</v>
      </c>
      <c r="E38" s="2">
        <f>AVERAGE(Table62[ProtoBuf (binary reference)])</f>
        <v>473.33333333333331</v>
      </c>
      <c r="F38" s="2">
        <f>AVERAGE(Table62[Service Stack])</f>
        <v>478</v>
      </c>
      <c r="G38" s="2">
        <f>AVERAGE(Table62[Jil])</f>
        <v>478.66666666666669</v>
      </c>
      <c r="H38" s="2">
        <f>AVERAGE(Table62[NetJSON])</f>
        <v>475</v>
      </c>
      <c r="I38" s="2">
        <f>AVERAGE(Table62[Jackson])</f>
        <v>32.333333333333336</v>
      </c>
      <c r="J38" s="2">
        <f>AVERAGE(Table62[DSL-JSON])</f>
        <v>32.333333333333336</v>
      </c>
      <c r="K38" s="2">
        <f>AVERAGE(Table62[Kryo (binary reference)])</f>
        <v>31</v>
      </c>
      <c r="L38" s="2" t="e">
        <f>AVERAGE(Table62[Boon])</f>
        <v>#DIV/0!</v>
      </c>
      <c r="M38" s="2">
        <f>AVERAGE(Table62[Alibaba])</f>
        <v>29</v>
      </c>
      <c r="N38" s="2">
        <f>AVERAGE(Table62[Gson])</f>
        <v>29</v>
      </c>
      <c r="O38" s="2"/>
      <c r="P38" s="2"/>
      <c r="Q38" s="2"/>
    </row>
    <row r="39" spans="2:17" x14ac:dyDescent="0.25">
      <c r="B39" t="s">
        <v>0</v>
      </c>
      <c r="C39" s="2">
        <f>AVERAGE(Table61[Newtonsoft]) - C38</f>
        <v>291.33333333333337</v>
      </c>
      <c r="D39" s="2">
        <f>AVERAGE(Table61[Revenj]) - D38</f>
        <v>44.333333333333314</v>
      </c>
      <c r="E39" s="2">
        <f>AVERAGE(Table61[ProtoBuf (binary reference)]) - E38</f>
        <v>161.33333333333331</v>
      </c>
      <c r="F39" s="2">
        <f>AVERAGE(Table61[Service Stack]) - F38</f>
        <v>215.66666666666663</v>
      </c>
      <c r="G39" s="2">
        <f>AVERAGE(Table61[Jil]) - G38</f>
        <v>523.66666666666674</v>
      </c>
      <c r="H39" s="2">
        <f>AVERAGE(Table61[NetJSON]) - H38</f>
        <v>160.66666666666663</v>
      </c>
      <c r="I39" s="2">
        <f>AVERAGE(Table61[Jackson]) - I38</f>
        <v>230.33333333333334</v>
      </c>
      <c r="J39" s="2">
        <f>AVERAGE(Table61[DSL-JSON]) - J38</f>
        <v>38.999999999999993</v>
      </c>
      <c r="K39" s="2">
        <f>AVERAGE(Table61[Kryo (binary reference)]) - K38</f>
        <v>74</v>
      </c>
      <c r="L39" s="2" t="e">
        <f>AVERAGE(Table61[Boon]) - L38</f>
        <v>#DIV/0!</v>
      </c>
      <c r="M39" s="2">
        <f>AVERAGE(Table61[Alibaba]) - M38</f>
        <v>255.66666666666669</v>
      </c>
      <c r="N39" s="2">
        <f>AVERAGE(Table61[Gson]) - N38</f>
        <v>286.33333333333331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224</v>
      </c>
      <c r="D40" s="2">
        <f t="shared" si="0"/>
        <v>92.666666666666572</v>
      </c>
      <c r="E40" s="2">
        <f t="shared" ref="E40" si="1">E41 - E39 - E38</f>
        <v>41.999999999999943</v>
      </c>
      <c r="F40" s="2">
        <f t="shared" si="0"/>
        <v>206.66666666666674</v>
      </c>
      <c r="G40" s="2">
        <f t="shared" si="0"/>
        <v>297.66666666666657</v>
      </c>
      <c r="H40" s="2">
        <f t="shared" si="0"/>
        <v>127</v>
      </c>
      <c r="I40" s="2">
        <f t="shared" ref="I40" si="2">I41 - I39 - I38</f>
        <v>338.99999999999994</v>
      </c>
      <c r="J40" s="2">
        <f t="shared" ref="J40" si="3">J41 - J39 - J38</f>
        <v>78.666666666666657</v>
      </c>
      <c r="K40" s="2">
        <f t="shared" ref="K40:L40" si="4">K41 - K39 - K38</f>
        <v>67</v>
      </c>
      <c r="L40" s="2" t="e">
        <f t="shared" si="4"/>
        <v>#DIV/0!</v>
      </c>
      <c r="M40" s="2">
        <f t="shared" ref="M40" si="5">M41 - M39 - M38</f>
        <v>328.66666666666669</v>
      </c>
      <c r="N40" s="2">
        <f t="shared" ref="N40" si="6">N41 - N39 - N38</f>
        <v>341.00000000000006</v>
      </c>
      <c r="O40" s="2"/>
      <c r="P40" s="2"/>
      <c r="Q40" s="2"/>
    </row>
    <row r="41" spans="2:17" x14ac:dyDescent="0.25">
      <c r="B41" t="s">
        <v>23</v>
      </c>
      <c r="C41" s="2">
        <f>AVERAGE(Table63[Newtonsoft])</f>
        <v>988.33333333333337</v>
      </c>
      <c r="D41" s="2">
        <f>AVERAGE(Table63[Revenj])</f>
        <v>611.66666666666663</v>
      </c>
      <c r="E41" s="2">
        <f>AVERAGE(Table63[ProtoBuf (binary reference)])</f>
        <v>676.66666666666663</v>
      </c>
      <c r="F41" s="2">
        <f>AVERAGE(Table63[Service Stack])</f>
        <v>900.33333333333337</v>
      </c>
      <c r="G41" s="2">
        <f>AVERAGE(Table63[Jil])</f>
        <v>1300</v>
      </c>
      <c r="H41" s="2">
        <f>AVERAGE(Table63[NetJSON])</f>
        <v>762.66666666666663</v>
      </c>
      <c r="I41" s="2">
        <f>AVERAGE(Table63[Jackson])</f>
        <v>601.66666666666663</v>
      </c>
      <c r="J41" s="2">
        <f>AVERAGE(Table63[DSL-JSON])</f>
        <v>150</v>
      </c>
      <c r="K41" s="2">
        <f>AVERAGE(Table63[Kryo (binary reference)])</f>
        <v>172</v>
      </c>
      <c r="L41" s="2" t="e">
        <f>AVERAGE(Table63[Boon])</f>
        <v>#DIV/0!</v>
      </c>
      <c r="M41" s="2">
        <f>AVERAGE(Table63[Alibaba])</f>
        <v>613.33333333333337</v>
      </c>
      <c r="N41" s="2">
        <f>AVERAGE(Table63[Gson])</f>
        <v>656.33333333333337</v>
      </c>
      <c r="O41" s="2"/>
      <c r="P41" s="2"/>
      <c r="Q41" s="2"/>
    </row>
    <row r="42" spans="2:17" x14ac:dyDescent="0.25">
      <c r="B42" t="s">
        <v>4</v>
      </c>
      <c r="C42" s="3">
        <f>AVERAGE(Table61[Newtonsoft (size)])</f>
        <v>2234454</v>
      </c>
      <c r="D42" s="3">
        <f>AVERAGE(Table61[Revenj (size)])</f>
        <v>1802584</v>
      </c>
      <c r="E42" s="3">
        <f>AVERAGE(Table61[ProtoBuf (size)])</f>
        <v>704000</v>
      </c>
      <c r="F42" s="3">
        <f>AVERAGE(Table61[Service Stack (size)])</f>
        <v>1740659</v>
      </c>
      <c r="G42" s="2">
        <f>AVERAGE(Table61[Jil (size)])</f>
        <v>2249785</v>
      </c>
      <c r="H42" s="2">
        <f>AVERAGE(Table61[NetJSON (size)])</f>
        <v>1785250.6666666667</v>
      </c>
      <c r="I42" s="2">
        <f>AVERAGE(Table61[Jackson (size)])</f>
        <v>1763995</v>
      </c>
      <c r="J42" s="2">
        <f>AVERAGE(Table61[DSL-JSON (size)])</f>
        <v>1802584</v>
      </c>
      <c r="K42" s="2">
        <f>AVERAGE(Table61[Kryo (size)])</f>
        <v>654855</v>
      </c>
      <c r="L42" s="2" t="e">
        <f>AVERAGE(Table61[Boon (size)])</f>
        <v>#DIV/0!</v>
      </c>
      <c r="M42" s="2">
        <f>AVERAGE(Table61[Alibaba (size)])</f>
        <v>1763995</v>
      </c>
      <c r="N42" s="2">
        <f>AVERAGE(Table61[Gson (size)])</f>
        <v>1763995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DEVSQ(Table61[Newtonsoft])</f>
        <v>242.66666666666669</v>
      </c>
      <c r="D47" s="2">
        <f>DEVSQ(Table61[Revenj])</f>
        <v>6</v>
      </c>
      <c r="E47" s="2">
        <f>DEVSQ(Table61[ProtoBuf (binary reference)])</f>
        <v>2.666666666666667</v>
      </c>
      <c r="F47" s="2">
        <f>DEVSQ(Table61[Service Stack])</f>
        <v>8.6666666666666661</v>
      </c>
      <c r="G47" s="2">
        <f>DEVSQ(Table61[Jil])</f>
        <v>4.666666666666667</v>
      </c>
      <c r="H47" s="2">
        <f>DEVSQ(Table61[NetJSON])</f>
        <v>0.66666666666666663</v>
      </c>
      <c r="I47" s="2">
        <f>DEVSQ(Table61[Jackson])</f>
        <v>4.6666666666666661</v>
      </c>
      <c r="J47" s="2">
        <f>DEVSQ(Table61[DSL-JSON])</f>
        <v>2.666666666666667</v>
      </c>
      <c r="K47" s="2">
        <f>DEVSQ(Table61[Kryo (binary reference)])</f>
        <v>26</v>
      </c>
      <c r="L47" s="2" t="e">
        <f>DEVSQ(Table61[Boon])</f>
        <v>#NUM!</v>
      </c>
      <c r="M47" s="2">
        <f>DEVSQ(Table61[Alibaba])</f>
        <v>34.666666666666671</v>
      </c>
      <c r="N47" s="2">
        <f>DEVSQ(Table61[Gson])</f>
        <v>10.666666666666666</v>
      </c>
      <c r="O47" s="2"/>
      <c r="P47" s="2"/>
      <c r="Q47" s="2"/>
    </row>
    <row r="48" spans="2:17" x14ac:dyDescent="0.25">
      <c r="B48" t="s">
        <v>23</v>
      </c>
      <c r="C48" s="2">
        <f>DEVSQ(Table63[Newtonsoft])</f>
        <v>12.666666666666666</v>
      </c>
      <c r="D48" s="2">
        <f>DEVSQ(Table63[Revenj])</f>
        <v>18.666666666666664</v>
      </c>
      <c r="E48" s="2">
        <f>DEVSQ(Table63[ProtoBuf (binary reference)])</f>
        <v>0.66666666666666663</v>
      </c>
      <c r="F48" s="2">
        <f>DEVSQ(Table63[Service Stack])</f>
        <v>10.666666666666668</v>
      </c>
      <c r="G48" s="2">
        <f>DEVSQ(Table63[Jil])</f>
        <v>6</v>
      </c>
      <c r="H48" s="2">
        <f>DEVSQ(Table63[NetJSON])</f>
        <v>0.66666666666666663</v>
      </c>
      <c r="I48" s="2">
        <f>DEVSQ(Table63[Jackson])</f>
        <v>242.66666666666669</v>
      </c>
      <c r="J48" s="2">
        <f>DEVSQ(Table63[DSL-JSON])</f>
        <v>194</v>
      </c>
      <c r="K48" s="2">
        <f>DEVSQ(Table63[Kryo (binary reference)])</f>
        <v>42</v>
      </c>
      <c r="L48" s="2" t="e">
        <f>DEVSQ(Table63[Boon])</f>
        <v>#NUM!</v>
      </c>
      <c r="M48" s="2">
        <f>DEVSQ(Table63[Alibaba])</f>
        <v>44.666666666666664</v>
      </c>
      <c r="N48" s="2">
        <f>DEVSQ(Table63[Gson])</f>
        <v>7234.6666666666661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474</v>
      </c>
      <c r="C52">
        <v>475</v>
      </c>
      <c r="D52">
        <v>474</v>
      </c>
      <c r="E52">
        <v>477</v>
      </c>
      <c r="F52">
        <v>478</v>
      </c>
      <c r="G52">
        <v>474</v>
      </c>
      <c r="H52">
        <v>32</v>
      </c>
      <c r="I52">
        <v>33</v>
      </c>
      <c r="J52">
        <v>35</v>
      </c>
      <c r="L52">
        <v>29</v>
      </c>
      <c r="M52">
        <v>29</v>
      </c>
    </row>
    <row r="53" spans="2:25" x14ac:dyDescent="0.25">
      <c r="B53">
        <v>471</v>
      </c>
      <c r="C53">
        <v>474</v>
      </c>
      <c r="D53">
        <v>474</v>
      </c>
      <c r="E53">
        <v>480</v>
      </c>
      <c r="F53">
        <v>478</v>
      </c>
      <c r="G53">
        <v>475</v>
      </c>
      <c r="H53">
        <v>32</v>
      </c>
      <c r="I53">
        <v>32</v>
      </c>
      <c r="J53">
        <v>29</v>
      </c>
      <c r="L53">
        <v>29</v>
      </c>
      <c r="M53">
        <v>29</v>
      </c>
    </row>
    <row r="54" spans="2:25" x14ac:dyDescent="0.25">
      <c r="B54">
        <v>474</v>
      </c>
      <c r="C54">
        <v>475</v>
      </c>
      <c r="D54">
        <v>472</v>
      </c>
      <c r="E54">
        <v>477</v>
      </c>
      <c r="F54">
        <v>480</v>
      </c>
      <c r="G54">
        <v>476</v>
      </c>
      <c r="H54">
        <v>33</v>
      </c>
      <c r="I54">
        <v>32</v>
      </c>
      <c r="J54">
        <v>29</v>
      </c>
      <c r="L54">
        <v>29</v>
      </c>
      <c r="M54">
        <v>29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777</v>
      </c>
      <c r="C58">
        <v>521</v>
      </c>
      <c r="D58">
        <v>634</v>
      </c>
      <c r="E58">
        <v>696</v>
      </c>
      <c r="F58">
        <v>1001</v>
      </c>
      <c r="G58">
        <v>636</v>
      </c>
      <c r="H58">
        <v>263</v>
      </c>
      <c r="I58">
        <v>72</v>
      </c>
      <c r="J58">
        <v>102</v>
      </c>
      <c r="L58">
        <v>286</v>
      </c>
      <c r="M58">
        <v>318</v>
      </c>
      <c r="N58">
        <v>2234454</v>
      </c>
      <c r="O58">
        <v>1802584</v>
      </c>
      <c r="P58">
        <v>704000</v>
      </c>
      <c r="Q58">
        <v>1740659</v>
      </c>
      <c r="R58">
        <v>2249785</v>
      </c>
      <c r="S58">
        <v>1788584</v>
      </c>
      <c r="T58">
        <v>1763995</v>
      </c>
      <c r="U58">
        <v>1802584</v>
      </c>
      <c r="V58">
        <v>654855</v>
      </c>
      <c r="X58">
        <v>1763995</v>
      </c>
      <c r="Y58">
        <v>1763995</v>
      </c>
    </row>
    <row r="59" spans="2:25" x14ac:dyDescent="0.25">
      <c r="B59">
        <v>757</v>
      </c>
      <c r="C59">
        <v>518</v>
      </c>
      <c r="D59">
        <v>634</v>
      </c>
      <c r="E59">
        <v>692</v>
      </c>
      <c r="F59">
        <v>1002</v>
      </c>
      <c r="G59">
        <v>635</v>
      </c>
      <c r="H59">
        <v>264</v>
      </c>
      <c r="I59">
        <v>70</v>
      </c>
      <c r="J59">
        <v>109</v>
      </c>
      <c r="L59">
        <v>288</v>
      </c>
      <c r="M59">
        <v>314</v>
      </c>
      <c r="N59">
        <v>2234454</v>
      </c>
      <c r="O59">
        <v>1802584</v>
      </c>
      <c r="P59">
        <v>704000</v>
      </c>
      <c r="Q59">
        <v>1740659</v>
      </c>
      <c r="R59">
        <v>2249785</v>
      </c>
      <c r="S59">
        <v>1788584</v>
      </c>
      <c r="T59">
        <v>1763995</v>
      </c>
      <c r="U59">
        <v>1802584</v>
      </c>
      <c r="V59">
        <v>654855</v>
      </c>
      <c r="X59">
        <v>1763995</v>
      </c>
      <c r="Y59">
        <v>1763995</v>
      </c>
    </row>
    <row r="60" spans="2:25" x14ac:dyDescent="0.25">
      <c r="B60">
        <v>759</v>
      </c>
      <c r="C60">
        <v>518</v>
      </c>
      <c r="D60">
        <v>636</v>
      </c>
      <c r="E60">
        <v>693</v>
      </c>
      <c r="F60">
        <v>1004</v>
      </c>
      <c r="G60">
        <v>636</v>
      </c>
      <c r="H60">
        <v>261</v>
      </c>
      <c r="I60">
        <v>72</v>
      </c>
      <c r="J60">
        <v>104</v>
      </c>
      <c r="L60">
        <v>280</v>
      </c>
      <c r="M60">
        <v>314</v>
      </c>
      <c r="N60">
        <v>2234454</v>
      </c>
      <c r="O60">
        <v>1802584</v>
      </c>
      <c r="P60">
        <v>704000</v>
      </c>
      <c r="Q60">
        <v>1740659</v>
      </c>
      <c r="R60">
        <v>2249785</v>
      </c>
      <c r="S60">
        <v>1778584</v>
      </c>
      <c r="T60">
        <v>1763995</v>
      </c>
      <c r="U60">
        <v>1802584</v>
      </c>
      <c r="V60">
        <v>654855</v>
      </c>
      <c r="X60">
        <v>1763995</v>
      </c>
      <c r="Y60">
        <v>1763995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991</v>
      </c>
      <c r="C64">
        <v>615</v>
      </c>
      <c r="D64">
        <v>677</v>
      </c>
      <c r="E64">
        <v>899</v>
      </c>
      <c r="F64">
        <v>1301</v>
      </c>
      <c r="G64">
        <v>763</v>
      </c>
      <c r="H64">
        <v>589</v>
      </c>
      <c r="I64">
        <v>142</v>
      </c>
      <c r="J64">
        <v>176</v>
      </c>
      <c r="L64">
        <v>617</v>
      </c>
      <c r="M64">
        <v>725</v>
      </c>
    </row>
    <row r="65" spans="2:13" x14ac:dyDescent="0.25">
      <c r="B65">
        <v>986</v>
      </c>
      <c r="C65">
        <v>611</v>
      </c>
      <c r="D65">
        <v>676</v>
      </c>
      <c r="E65">
        <v>899</v>
      </c>
      <c r="F65">
        <v>1301</v>
      </c>
      <c r="G65">
        <v>763</v>
      </c>
      <c r="H65">
        <v>609</v>
      </c>
      <c r="I65">
        <v>161</v>
      </c>
      <c r="J65">
        <v>173</v>
      </c>
      <c r="L65">
        <v>608</v>
      </c>
      <c r="M65">
        <v>631</v>
      </c>
    </row>
    <row r="66" spans="2:13" x14ac:dyDescent="0.25">
      <c r="B66">
        <v>988</v>
      </c>
      <c r="C66">
        <v>609</v>
      </c>
      <c r="D66">
        <v>677</v>
      </c>
      <c r="E66">
        <v>903</v>
      </c>
      <c r="F66">
        <v>1298</v>
      </c>
      <c r="G66">
        <v>762</v>
      </c>
      <c r="H66">
        <v>607</v>
      </c>
      <c r="I66">
        <v>147</v>
      </c>
      <c r="J66">
        <v>167</v>
      </c>
      <c r="L66">
        <v>615</v>
      </c>
      <c r="M66">
        <v>613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AVERAGE(Table67[Newtonsoft])</f>
        <v>668.66666666666663</v>
      </c>
      <c r="D38" s="2">
        <f>AVERAGE(Table67[Revenj])</f>
        <v>668.33333333333337</v>
      </c>
      <c r="E38" s="2">
        <f>AVERAGE(Table67[ProtoBuf (binary reference)])</f>
        <v>667.33333333333337</v>
      </c>
      <c r="F38" s="2">
        <f>AVERAGE(Table67[Service Stack])</f>
        <v>702.66666666666663</v>
      </c>
      <c r="G38" s="2">
        <f>AVERAGE(Table67[Jil])</f>
        <v>669.33333333333337</v>
      </c>
      <c r="H38" s="2">
        <f>AVERAGE(Table67[NetJSON])</f>
        <v>664.33333333333337</v>
      </c>
      <c r="I38" s="2">
        <f>AVERAGE(Table67[Jackson])</f>
        <v>64.333333333333329</v>
      </c>
      <c r="J38" s="2">
        <f>AVERAGE(Table67[DSL-JSON])</f>
        <v>64.333333333333329</v>
      </c>
      <c r="K38" s="2">
        <f>AVERAGE(Table67[Kryo (binary reference)])</f>
        <v>59.333333333333336</v>
      </c>
      <c r="L38" s="2" t="e">
        <f>AVERAGE(Table67[Boon])</f>
        <v>#DIV/0!</v>
      </c>
      <c r="M38" s="2">
        <f>AVERAGE(Table67[Alibaba])</f>
        <v>60.666666666666664</v>
      </c>
      <c r="N38" s="2">
        <f>AVERAGE(Table67[Gson])</f>
        <v>62.666666666666664</v>
      </c>
      <c r="O38" s="2"/>
      <c r="P38" s="2"/>
      <c r="Q38" s="2"/>
    </row>
    <row r="39" spans="2:17" x14ac:dyDescent="0.25">
      <c r="B39" t="s">
        <v>0</v>
      </c>
      <c r="C39" s="2">
        <f>AVERAGE(Table66[Newtonsoft]) - C38</f>
        <v>1125.6666666666665</v>
      </c>
      <c r="D39" s="2">
        <f>AVERAGE(Table66[Revenj]) - D38</f>
        <v>275</v>
      </c>
      <c r="E39" s="2">
        <f>AVERAGE(Table66[ProtoBuf (binary reference)]) - E38</f>
        <v>270.66666666666663</v>
      </c>
      <c r="F39" s="2">
        <f>AVERAGE(Table66[Service Stack]) - F38</f>
        <v>738.00000000000011</v>
      </c>
      <c r="G39" s="2">
        <f>AVERAGE(Table66[Jil]) - G38</f>
        <v>1055</v>
      </c>
      <c r="H39" s="2">
        <f>AVERAGE(Table66[NetJSON]) - H38</f>
        <v>438.99999999999989</v>
      </c>
      <c r="I39" s="2">
        <f>AVERAGE(Table66[Jackson]) - I38</f>
        <v>520.66666666666663</v>
      </c>
      <c r="J39" s="2">
        <f>AVERAGE(Table66[DSL-JSON]) - J38</f>
        <v>131.33333333333331</v>
      </c>
      <c r="K39" s="2">
        <f>AVERAGE(Table66[Kryo (binary reference)]) - K38</f>
        <v>151</v>
      </c>
      <c r="L39" s="2" t="e">
        <f>AVERAGE(Table66[Boon]) - L38</f>
        <v>#DIV/0!</v>
      </c>
      <c r="M39" s="2">
        <f>AVERAGE(Table66[Alibaba]) - M38</f>
        <v>806</v>
      </c>
      <c r="N39" s="2">
        <f>AVERAGE(Table66[Gson]) - N38</f>
        <v>1232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1325.3333333333335</v>
      </c>
      <c r="D40" s="2">
        <f t="shared" si="0"/>
        <v>569.66666666666663</v>
      </c>
      <c r="E40" s="2">
        <f t="shared" ref="E40" si="1">E41 - E39 - E38</f>
        <v>215.66666666666674</v>
      </c>
      <c r="F40" s="2">
        <f t="shared" si="0"/>
        <v>1123.666666666667</v>
      </c>
      <c r="G40" s="2">
        <f t="shared" si="0"/>
        <v>900.66666666666663</v>
      </c>
      <c r="H40" s="2">
        <f t="shared" si="0"/>
        <v>1075</v>
      </c>
      <c r="I40" s="2">
        <f t="shared" ref="I40" si="2">I41 - I39 - I38</f>
        <v>1009.6666666666666</v>
      </c>
      <c r="J40" s="2">
        <f t="shared" ref="J40" si="3">J41 - J39 - J38</f>
        <v>259.33333333333337</v>
      </c>
      <c r="K40" s="2">
        <f t="shared" ref="K40:L40" si="4">K41 - K39 - K38</f>
        <v>169.99999999999997</v>
      </c>
      <c r="L40" s="2" t="e">
        <f t="shared" si="4"/>
        <v>#DIV/0!</v>
      </c>
      <c r="M40" s="2">
        <f t="shared" ref="M40" si="5">M41 - M39 - M38</f>
        <v>1265.6666666666667</v>
      </c>
      <c r="N40" s="2">
        <f t="shared" ref="N40" si="6">N41 - N39 - N38</f>
        <v>1223.6666666666667</v>
      </c>
      <c r="O40" s="2"/>
      <c r="P40" s="2"/>
      <c r="Q40" s="2"/>
    </row>
    <row r="41" spans="2:17" x14ac:dyDescent="0.25">
      <c r="B41" t="s">
        <v>23</v>
      </c>
      <c r="C41" s="2">
        <f>AVERAGE(Table68[Newtonsoft])</f>
        <v>3119.6666666666665</v>
      </c>
      <c r="D41" s="2">
        <f>AVERAGE(Table68[Revenj])</f>
        <v>1513</v>
      </c>
      <c r="E41" s="2">
        <f>AVERAGE(Table68[ProtoBuf (binary reference)])</f>
        <v>1153.6666666666667</v>
      </c>
      <c r="F41" s="2">
        <f>AVERAGE(Table68[Service Stack])</f>
        <v>2564.3333333333335</v>
      </c>
      <c r="G41" s="2">
        <f>AVERAGE(Table68[Jil])</f>
        <v>2625</v>
      </c>
      <c r="H41" s="2">
        <f>AVERAGE(Table68[NetJSON])</f>
        <v>2178.3333333333335</v>
      </c>
      <c r="I41" s="2">
        <f>AVERAGE(Table68[Jackson])</f>
        <v>1594.6666666666667</v>
      </c>
      <c r="J41" s="2">
        <f>AVERAGE(Table68[DSL-JSON])</f>
        <v>455</v>
      </c>
      <c r="K41" s="2">
        <f>AVERAGE(Table68[Kryo (binary reference)])</f>
        <v>380.33333333333331</v>
      </c>
      <c r="L41" s="2" t="e">
        <f>AVERAGE(Table68[Boon])</f>
        <v>#DIV/0!</v>
      </c>
      <c r="M41" s="2">
        <f>AVERAGE(Table68[Alibaba])</f>
        <v>2132.3333333333335</v>
      </c>
      <c r="N41" s="2">
        <f>AVERAGE(Table68[Gson])</f>
        <v>2518.3333333333335</v>
      </c>
      <c r="O41" s="2"/>
      <c r="P41" s="2"/>
      <c r="Q41" s="2"/>
    </row>
    <row r="42" spans="2:17" x14ac:dyDescent="0.25">
      <c r="B42" t="s">
        <v>4</v>
      </c>
      <c r="C42" s="3">
        <f>AVERAGE(Table66[Newtonsoft (size)])</f>
        <v>23246001</v>
      </c>
      <c r="D42" s="3">
        <f>AVERAGE(Table66[Revenj (size)])</f>
        <v>18939843</v>
      </c>
      <c r="E42" s="3">
        <f>AVERAGE(Table66[ProtoBuf (size)])</f>
        <v>7506385</v>
      </c>
      <c r="F42" s="3">
        <f>AVERAGE(Table66[Service Stack (size)])</f>
        <v>18307918</v>
      </c>
      <c r="G42" s="2">
        <f>AVERAGE(Table66[Jil (size)])</f>
        <v>23399332</v>
      </c>
      <c r="H42" s="2">
        <f>AVERAGE(Table66[NetJSON (size)])</f>
        <v>18799843</v>
      </c>
      <c r="I42" s="2">
        <f>AVERAGE(Table66[Jackson (size)])</f>
        <v>18541254</v>
      </c>
      <c r="J42" s="2">
        <f>AVERAGE(Table66[DSL-JSON (size)])</f>
        <v>18939843</v>
      </c>
      <c r="K42" s="2">
        <f>AVERAGE(Table66[Kryo (size)])</f>
        <v>7091834</v>
      </c>
      <c r="L42" s="2" t="e">
        <f>AVERAGE(Table66[Boon (size)])</f>
        <v>#DIV/0!</v>
      </c>
      <c r="M42" s="2">
        <f>AVERAGE(Table66[Alibaba (size)])</f>
        <v>18541254</v>
      </c>
      <c r="N42" s="2">
        <f>AVERAGE(Table66[Gson (size)])</f>
        <v>18541254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DEVSQ(Table66[Newtonsoft])</f>
        <v>22244.666666666664</v>
      </c>
      <c r="D47" s="2">
        <f>DEVSQ(Table66[Revenj])</f>
        <v>32.666666666666664</v>
      </c>
      <c r="E47" s="2">
        <f>DEVSQ(Table66[ProtoBuf (binary reference)])</f>
        <v>42</v>
      </c>
      <c r="F47" s="2">
        <f>DEVSQ(Table66[Service Stack])</f>
        <v>148.66666666666666</v>
      </c>
      <c r="G47" s="2">
        <f>DEVSQ(Table66[Jil])</f>
        <v>44.666666666666664</v>
      </c>
      <c r="H47" s="2">
        <f>DEVSQ(Table66[NetJSON])</f>
        <v>4.6666666666666661</v>
      </c>
      <c r="I47" s="2">
        <f>DEVSQ(Table66[Jackson])</f>
        <v>602</v>
      </c>
      <c r="J47" s="2">
        <f>DEVSQ(Table66[DSL-JSON])</f>
        <v>8.6666666666666679</v>
      </c>
      <c r="K47" s="2">
        <f>DEVSQ(Table66[Kryo (binary reference)])</f>
        <v>60.666666666666664</v>
      </c>
      <c r="L47" s="2" t="e">
        <f>DEVSQ(Table66[Boon])</f>
        <v>#NUM!</v>
      </c>
      <c r="M47" s="2">
        <f>DEVSQ(Table66[Alibaba])</f>
        <v>690.66666666666674</v>
      </c>
      <c r="N47" s="2">
        <f>DEVSQ(Table66[Gson])</f>
        <v>572.66666666666674</v>
      </c>
      <c r="O47" s="2"/>
      <c r="P47" s="2"/>
      <c r="Q47" s="2"/>
    </row>
    <row r="48" spans="2:17" x14ac:dyDescent="0.25">
      <c r="B48" t="s">
        <v>23</v>
      </c>
      <c r="C48" s="2">
        <f>DEVSQ(Table68[Newtonsoft])</f>
        <v>332.66666666666663</v>
      </c>
      <c r="D48" s="2">
        <f>DEVSQ(Table68[Revenj])</f>
        <v>86</v>
      </c>
      <c r="E48" s="2">
        <f>DEVSQ(Table68[ProtoBuf (binary reference)])</f>
        <v>34.666666666666671</v>
      </c>
      <c r="F48" s="2">
        <f>DEVSQ(Table68[Service Stack])</f>
        <v>66.666666666666671</v>
      </c>
      <c r="G48" s="2">
        <f>DEVSQ(Table68[Jil])</f>
        <v>104</v>
      </c>
      <c r="H48" s="2">
        <f>DEVSQ(Table68[NetJSON])</f>
        <v>12.666666666666666</v>
      </c>
      <c r="I48" s="2">
        <f>DEVSQ(Table68[Jackson])</f>
        <v>14498.666666666666</v>
      </c>
      <c r="J48" s="2">
        <f>DEVSQ(Table68[DSL-JSON])</f>
        <v>96</v>
      </c>
      <c r="K48" s="2">
        <f>DEVSQ(Table68[Kryo (binary reference)])</f>
        <v>120.66666666666667</v>
      </c>
      <c r="L48" s="2" t="e">
        <f>DEVSQ(Table68[Boon])</f>
        <v>#NUM!</v>
      </c>
      <c r="M48" s="2">
        <f>DEVSQ(Table68[Alibaba])</f>
        <v>1228.6666666666667</v>
      </c>
      <c r="N48" s="2">
        <f>DEVSQ(Table68[Gson])</f>
        <v>1570.6666666666665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671</v>
      </c>
      <c r="C52">
        <v>663</v>
      </c>
      <c r="D52">
        <v>664</v>
      </c>
      <c r="E52">
        <v>670</v>
      </c>
      <c r="F52">
        <v>669</v>
      </c>
      <c r="G52">
        <v>663</v>
      </c>
      <c r="H52">
        <v>66</v>
      </c>
      <c r="I52">
        <v>65</v>
      </c>
      <c r="J52">
        <v>61</v>
      </c>
      <c r="L52">
        <v>61</v>
      </c>
      <c r="M52">
        <v>64</v>
      </c>
    </row>
    <row r="53" spans="2:25" x14ac:dyDescent="0.25">
      <c r="B53">
        <v>670</v>
      </c>
      <c r="C53">
        <v>679</v>
      </c>
      <c r="D53">
        <v>672</v>
      </c>
      <c r="E53">
        <v>769</v>
      </c>
      <c r="F53">
        <v>667</v>
      </c>
      <c r="G53">
        <v>665</v>
      </c>
      <c r="H53">
        <v>64</v>
      </c>
      <c r="I53">
        <v>64</v>
      </c>
      <c r="J53">
        <v>56</v>
      </c>
      <c r="L53">
        <v>60</v>
      </c>
      <c r="M53">
        <v>63</v>
      </c>
    </row>
    <row r="54" spans="2:25" x14ac:dyDescent="0.25">
      <c r="B54">
        <v>665</v>
      </c>
      <c r="C54">
        <v>663</v>
      </c>
      <c r="D54">
        <v>666</v>
      </c>
      <c r="E54">
        <v>669</v>
      </c>
      <c r="F54">
        <v>672</v>
      </c>
      <c r="G54">
        <v>665</v>
      </c>
      <c r="H54">
        <v>63</v>
      </c>
      <c r="I54">
        <v>64</v>
      </c>
      <c r="J54">
        <v>61</v>
      </c>
      <c r="L54">
        <v>61</v>
      </c>
      <c r="M54">
        <v>61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1916</v>
      </c>
      <c r="C58">
        <v>947</v>
      </c>
      <c r="D58">
        <v>943</v>
      </c>
      <c r="E58">
        <v>1450</v>
      </c>
      <c r="F58">
        <v>1728</v>
      </c>
      <c r="G58">
        <v>1105</v>
      </c>
      <c r="H58">
        <v>566</v>
      </c>
      <c r="I58">
        <v>198</v>
      </c>
      <c r="J58">
        <v>214</v>
      </c>
      <c r="L58">
        <v>888</v>
      </c>
      <c r="M58">
        <v>1276</v>
      </c>
      <c r="N58">
        <v>23246001</v>
      </c>
      <c r="O58">
        <v>18939843</v>
      </c>
      <c r="P58">
        <v>7506385</v>
      </c>
      <c r="Q58">
        <v>18307918</v>
      </c>
      <c r="R58">
        <v>23399332</v>
      </c>
      <c r="S58">
        <v>18799843</v>
      </c>
      <c r="T58">
        <v>18541254</v>
      </c>
      <c r="U58">
        <v>18939843</v>
      </c>
      <c r="V58">
        <v>7091834</v>
      </c>
      <c r="X58">
        <v>18541254</v>
      </c>
      <c r="Y58">
        <v>18541254</v>
      </c>
    </row>
    <row r="59" spans="2:25" x14ac:dyDescent="0.25">
      <c r="B59">
        <v>1729</v>
      </c>
      <c r="C59">
        <v>944</v>
      </c>
      <c r="D59">
        <v>934</v>
      </c>
      <c r="E59">
        <v>1433</v>
      </c>
      <c r="F59">
        <v>1719</v>
      </c>
      <c r="G59">
        <v>1103</v>
      </c>
      <c r="H59">
        <v>600</v>
      </c>
      <c r="I59">
        <v>195</v>
      </c>
      <c r="J59">
        <v>213</v>
      </c>
      <c r="L59">
        <v>858</v>
      </c>
      <c r="M59">
        <v>1299</v>
      </c>
      <c r="N59">
        <v>23246001</v>
      </c>
      <c r="O59">
        <v>18939843</v>
      </c>
      <c r="P59">
        <v>7506385</v>
      </c>
      <c r="Q59">
        <v>18307918</v>
      </c>
      <c r="R59">
        <v>23399332</v>
      </c>
      <c r="S59">
        <v>18799843</v>
      </c>
      <c r="T59">
        <v>18541254</v>
      </c>
      <c r="U59">
        <v>18939843</v>
      </c>
      <c r="V59">
        <v>7091834</v>
      </c>
      <c r="X59">
        <v>18541254</v>
      </c>
      <c r="Y59">
        <v>18541254</v>
      </c>
    </row>
    <row r="60" spans="2:25" x14ac:dyDescent="0.25">
      <c r="B60">
        <v>1738</v>
      </c>
      <c r="C60">
        <v>939</v>
      </c>
      <c r="D60">
        <v>937</v>
      </c>
      <c r="E60">
        <v>1439</v>
      </c>
      <c r="F60">
        <v>1726</v>
      </c>
      <c r="G60">
        <v>1102</v>
      </c>
      <c r="H60">
        <v>589</v>
      </c>
      <c r="I60">
        <v>194</v>
      </c>
      <c r="J60">
        <v>204</v>
      </c>
      <c r="L60">
        <v>854</v>
      </c>
      <c r="M60">
        <v>1309</v>
      </c>
      <c r="N60">
        <v>23246001</v>
      </c>
      <c r="O60">
        <v>18939843</v>
      </c>
      <c r="P60">
        <v>7506385</v>
      </c>
      <c r="Q60">
        <v>18307918</v>
      </c>
      <c r="R60">
        <v>23399332</v>
      </c>
      <c r="S60">
        <v>18799843</v>
      </c>
      <c r="T60">
        <v>18541254</v>
      </c>
      <c r="U60">
        <v>18939843</v>
      </c>
      <c r="V60">
        <v>7091834</v>
      </c>
      <c r="X60">
        <v>18541254</v>
      </c>
      <c r="Y60">
        <v>18541254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3134</v>
      </c>
      <c r="C64">
        <v>1512</v>
      </c>
      <c r="D64">
        <v>1155</v>
      </c>
      <c r="E64">
        <v>2561</v>
      </c>
      <c r="F64">
        <v>2633</v>
      </c>
      <c r="G64">
        <v>2176</v>
      </c>
      <c r="H64">
        <v>1558</v>
      </c>
      <c r="I64">
        <v>459</v>
      </c>
      <c r="J64">
        <v>389</v>
      </c>
      <c r="L64">
        <v>2159</v>
      </c>
      <c r="M64">
        <v>2517</v>
      </c>
    </row>
    <row r="65" spans="2:13" x14ac:dyDescent="0.25">
      <c r="B65">
        <v>3116</v>
      </c>
      <c r="C65">
        <v>1507</v>
      </c>
      <c r="D65">
        <v>1157</v>
      </c>
      <c r="E65">
        <v>2561</v>
      </c>
      <c r="F65">
        <v>2619</v>
      </c>
      <c r="G65">
        <v>2178</v>
      </c>
      <c r="H65">
        <v>1534</v>
      </c>
      <c r="I65">
        <v>447</v>
      </c>
      <c r="J65">
        <v>378</v>
      </c>
      <c r="L65">
        <v>2110</v>
      </c>
      <c r="M65">
        <v>2491</v>
      </c>
    </row>
    <row r="66" spans="2:13" x14ac:dyDescent="0.25">
      <c r="B66">
        <v>3109</v>
      </c>
      <c r="C66">
        <v>1520</v>
      </c>
      <c r="D66">
        <v>1149</v>
      </c>
      <c r="E66">
        <v>2571</v>
      </c>
      <c r="F66">
        <v>2623</v>
      </c>
      <c r="G66">
        <v>2181</v>
      </c>
      <c r="H66">
        <v>1692</v>
      </c>
      <c r="I66">
        <v>459</v>
      </c>
      <c r="J66">
        <v>374</v>
      </c>
      <c r="L66">
        <v>2128</v>
      </c>
      <c r="M66">
        <v>2547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AVERAGE(Table72[Newtonsoft])</f>
        <v>2588.6666666666665</v>
      </c>
      <c r="D38" s="2">
        <f>AVERAGE(Table72[Revenj])</f>
        <v>2583.3333333333335</v>
      </c>
      <c r="E38" s="2">
        <f>AVERAGE(Table72[ProtoBuf (binary reference)])</f>
        <v>2579.3333333333335</v>
      </c>
      <c r="F38" s="2">
        <f>AVERAGE(Table72[Service Stack])</f>
        <v>2594</v>
      </c>
      <c r="G38" s="2">
        <f>AVERAGE(Table72[Jil])</f>
        <v>2572.3333333333335</v>
      </c>
      <c r="H38" s="2">
        <f>AVERAGE(Table72[NetJSON])</f>
        <v>2556.3333333333335</v>
      </c>
      <c r="I38" s="2">
        <f>AVERAGE(Table72[Jackson])</f>
        <v>188.66666666666666</v>
      </c>
      <c r="J38" s="2">
        <f>AVERAGE(Table72[DSL-JSON])</f>
        <v>188.33333333333334</v>
      </c>
      <c r="K38" s="2">
        <f>AVERAGE(Table72[Kryo (binary reference)])</f>
        <v>191.66666666666666</v>
      </c>
      <c r="L38" s="2" t="e">
        <f>AVERAGE(Table72[Boon])</f>
        <v>#DIV/0!</v>
      </c>
      <c r="M38" s="2">
        <f>AVERAGE(Table72[Alibaba])</f>
        <v>188.33333333333334</v>
      </c>
      <c r="N38" s="2">
        <f>AVERAGE(Table72[Gson])</f>
        <v>189</v>
      </c>
      <c r="O38" s="2"/>
      <c r="P38" s="2"/>
      <c r="Q38" s="2"/>
    </row>
    <row r="39" spans="2:17" x14ac:dyDescent="0.25">
      <c r="B39" t="s">
        <v>0</v>
      </c>
      <c r="C39" s="2">
        <f>AVERAGE(Table71[Newtonsoft]) - C38</f>
        <v>8988</v>
      </c>
      <c r="D39" s="2">
        <f>AVERAGE(Table71[Revenj]) - D38</f>
        <v>2632.6666666666665</v>
      </c>
      <c r="E39" s="2">
        <f>AVERAGE(Table71[ProtoBuf (binary reference)]) - E38</f>
        <v>1328.6666666666665</v>
      </c>
      <c r="F39" s="2">
        <f>AVERAGE(Table71[Service Stack]) - F38</f>
        <v>6273.3333333333339</v>
      </c>
      <c r="G39" s="2">
        <f>AVERAGE(Table71[Jil]) - G38</f>
        <v>6462</v>
      </c>
      <c r="H39" s="2">
        <f>AVERAGE(Table71[NetJSON]) - H38</f>
        <v>3304.9999999999995</v>
      </c>
      <c r="I39" s="2">
        <f>AVERAGE(Table71[Jackson]) - I38</f>
        <v>2035.3333333333333</v>
      </c>
      <c r="J39" s="2">
        <f>AVERAGE(Table71[DSL-JSON]) - J38</f>
        <v>724</v>
      </c>
      <c r="K39" s="2">
        <f>AVERAGE(Table71[Kryo (binary reference)]) - K38</f>
        <v>681.33333333333337</v>
      </c>
      <c r="L39" s="2" t="e">
        <f>AVERAGE(Table71[Boon]) - L38</f>
        <v>#DIV/0!</v>
      </c>
      <c r="M39" s="2">
        <f>AVERAGE(Table71[Alibaba]) - M38</f>
        <v>4985</v>
      </c>
      <c r="N39" s="2">
        <f>AVERAGE(Table71[Gson]) - N38</f>
        <v>9422.6666666666661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13219.000000000002</v>
      </c>
      <c r="D40" s="2">
        <f t="shared" si="0"/>
        <v>5429</v>
      </c>
      <c r="E40" s="2">
        <f t="shared" ref="E40" si="1">E41 - E39 - E38</f>
        <v>2037.0000000000005</v>
      </c>
      <c r="F40" s="2">
        <f t="shared" si="0"/>
        <v>10542.999999999998</v>
      </c>
      <c r="G40" s="2">
        <f t="shared" si="0"/>
        <v>7116.3333333333321</v>
      </c>
      <c r="H40" s="2">
        <f t="shared" si="0"/>
        <v>10630.333333333334</v>
      </c>
      <c r="I40" s="2">
        <f t="shared" ref="I40" si="2">I41 - I39 - I38</f>
        <v>6741</v>
      </c>
      <c r="J40" s="2">
        <f t="shared" ref="J40" si="3">J41 - J39 - J38</f>
        <v>1207.6666666666667</v>
      </c>
      <c r="K40" s="2">
        <f t="shared" ref="K40:L40" si="4">K41 - K39 - K38</f>
        <v>833.33333333333337</v>
      </c>
      <c r="L40" s="2" t="e">
        <f t="shared" si="4"/>
        <v>#DIV/0!</v>
      </c>
      <c r="M40" s="2">
        <f t="shared" ref="M40" si="5">M41 - M39 - M38</f>
        <v>7436.666666666667</v>
      </c>
      <c r="N40" s="2">
        <f t="shared" ref="N40" si="6">N41 - N39 - N38</f>
        <v>8611.6666666666661</v>
      </c>
      <c r="O40" s="2"/>
      <c r="P40" s="2"/>
      <c r="Q40" s="2"/>
    </row>
    <row r="41" spans="2:17" x14ac:dyDescent="0.25">
      <c r="B41" t="s">
        <v>23</v>
      </c>
      <c r="C41" s="2">
        <f>AVERAGE(Table73[Newtonsoft])</f>
        <v>24795.666666666668</v>
      </c>
      <c r="D41" s="2">
        <f>AVERAGE(Table73[Revenj])</f>
        <v>10645</v>
      </c>
      <c r="E41" s="2">
        <f>AVERAGE(Table73[ProtoBuf (binary reference)])</f>
        <v>5945</v>
      </c>
      <c r="F41" s="2">
        <f>AVERAGE(Table73[Service Stack])</f>
        <v>19410.333333333332</v>
      </c>
      <c r="G41" s="2">
        <f>AVERAGE(Table73[Jil])</f>
        <v>16150.666666666666</v>
      </c>
      <c r="H41" s="2">
        <f>AVERAGE(Table73[NetJSON])</f>
        <v>16491.666666666668</v>
      </c>
      <c r="I41" s="2">
        <f>AVERAGE(Table73[Jackson])</f>
        <v>8965</v>
      </c>
      <c r="J41" s="2">
        <f>AVERAGE(Table73[DSL-JSON])</f>
        <v>2120</v>
      </c>
      <c r="K41" s="2">
        <f>AVERAGE(Table73[Kryo (binary reference)])</f>
        <v>1706.3333333333333</v>
      </c>
      <c r="L41" s="2" t="e">
        <f>AVERAGE(Table73[Boon])</f>
        <v>#DIV/0!</v>
      </c>
      <c r="M41" s="2">
        <f>AVERAGE(Table73[Alibaba])</f>
        <v>12610</v>
      </c>
      <c r="N41" s="2">
        <f>AVERAGE(Table73[Gson])</f>
        <v>18223.333333333332</v>
      </c>
      <c r="O41" s="2"/>
      <c r="P41" s="2"/>
      <c r="Q41" s="2"/>
    </row>
    <row r="42" spans="2:17" x14ac:dyDescent="0.25">
      <c r="B42" t="s">
        <v>4</v>
      </c>
      <c r="C42" s="3">
        <f>AVERAGE(Table71[Newtonsoft (size)])</f>
        <v>241190228.66666666</v>
      </c>
      <c r="D42" s="3">
        <f>AVERAGE(Table71[Revenj (size)])</f>
        <v>198474556</v>
      </c>
      <c r="E42" s="3">
        <f>AVERAGE(Table71[ProtoBuf (size)])</f>
        <v>79244720</v>
      </c>
      <c r="F42" s="3">
        <f>AVERAGE(Table71[Service Stack (size)])</f>
        <v>192142631</v>
      </c>
      <c r="G42" s="2">
        <f>AVERAGE(Table71[Jil (size)])</f>
        <v>243056893</v>
      </c>
      <c r="H42" s="2">
        <f>AVERAGE(Table71[NetJSON (size)])</f>
        <v>196407889.33333334</v>
      </c>
      <c r="I42" s="2">
        <f>AVERAGE(Table71[Jackson (size)])</f>
        <v>194475967</v>
      </c>
      <c r="J42" s="2">
        <f>AVERAGE(Table71[DSL-JSON (size)])</f>
        <v>198474556</v>
      </c>
      <c r="K42" s="2">
        <f>AVERAGE(Table71[Kryo (size)])</f>
        <v>74036454</v>
      </c>
      <c r="L42" s="2" t="e">
        <f>AVERAGE(Table71[Boon (size)])</f>
        <v>#DIV/0!</v>
      </c>
      <c r="M42" s="2">
        <f>AVERAGE(Table71[Alibaba (size)])</f>
        <v>194475967</v>
      </c>
      <c r="N42" s="2">
        <f>AVERAGE(Table71[Gson (size)])</f>
        <v>194475967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DEVSQ(Table71[Newtonsoft])</f>
        <v>2272.6666666666665</v>
      </c>
      <c r="D47" s="2">
        <f>DEVSQ(Table71[Revenj])</f>
        <v>5334</v>
      </c>
      <c r="E47" s="2">
        <f>DEVSQ(Table71[ProtoBuf (binary reference)])</f>
        <v>504</v>
      </c>
      <c r="F47" s="2">
        <f>DEVSQ(Table71[Service Stack])</f>
        <v>252.66666666666666</v>
      </c>
      <c r="G47" s="2">
        <f>DEVSQ(Table71[Jil])</f>
        <v>492.66666666666674</v>
      </c>
      <c r="H47" s="2">
        <f>DEVSQ(Table71[NetJSON])</f>
        <v>72.666666666666657</v>
      </c>
      <c r="I47" s="2">
        <f>DEVSQ(Table71[Jackson])</f>
        <v>4088</v>
      </c>
      <c r="J47" s="2">
        <f>DEVSQ(Table71[DSL-JSON])</f>
        <v>0.66666666666666663</v>
      </c>
      <c r="K47" s="2">
        <f>DEVSQ(Table71[Kryo (binary reference)])</f>
        <v>774</v>
      </c>
      <c r="L47" s="2" t="e">
        <f>DEVSQ(Table71[Boon])</f>
        <v>#NUM!</v>
      </c>
      <c r="M47" s="2">
        <f>DEVSQ(Table71[Alibaba])</f>
        <v>24044.666666666668</v>
      </c>
      <c r="N47" s="2">
        <f>DEVSQ(Table71[Gson])</f>
        <v>163388.66666666669</v>
      </c>
      <c r="O47" s="2"/>
      <c r="P47" s="2"/>
      <c r="Q47" s="2"/>
    </row>
    <row r="48" spans="2:17" x14ac:dyDescent="0.25">
      <c r="B48" t="s">
        <v>23</v>
      </c>
      <c r="C48" s="2">
        <f>DEVSQ(Table73[Newtonsoft])</f>
        <v>1442.6666666666665</v>
      </c>
      <c r="D48" s="2">
        <f>DEVSQ(Table73[Revenj])</f>
        <v>5234</v>
      </c>
      <c r="E48" s="2">
        <f>DEVSQ(Table73[ProtoBuf (binary reference)])</f>
        <v>2336</v>
      </c>
      <c r="F48" s="2">
        <f>DEVSQ(Table73[Service Stack])</f>
        <v>1154.6666666666665</v>
      </c>
      <c r="G48" s="2">
        <f>DEVSQ(Table73[Jil])</f>
        <v>3722.6666666666661</v>
      </c>
      <c r="H48" s="2">
        <f>DEVSQ(Table73[NetJSON])</f>
        <v>1184.6666666666665</v>
      </c>
      <c r="I48" s="2">
        <f>DEVSQ(Table73[Jackson])</f>
        <v>133800</v>
      </c>
      <c r="J48" s="2">
        <f>DEVSQ(Table73[DSL-JSON])</f>
        <v>3296</v>
      </c>
      <c r="K48" s="2">
        <f>DEVSQ(Table73[Kryo (binary reference)])</f>
        <v>1460.6666666666667</v>
      </c>
      <c r="L48" s="2" t="e">
        <f>DEVSQ(Table73[Boon])</f>
        <v>#NUM!</v>
      </c>
      <c r="M48" s="2">
        <f>DEVSQ(Table73[Alibaba])</f>
        <v>39998</v>
      </c>
      <c r="N48" s="2">
        <f>DEVSQ(Table73[Gson])</f>
        <v>272960.66666666669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2568</v>
      </c>
      <c r="C52">
        <v>2584</v>
      </c>
      <c r="D52">
        <v>2568</v>
      </c>
      <c r="E52">
        <v>2577</v>
      </c>
      <c r="F52">
        <v>2583</v>
      </c>
      <c r="G52">
        <v>2570</v>
      </c>
      <c r="H52">
        <v>197</v>
      </c>
      <c r="I52">
        <v>185</v>
      </c>
      <c r="J52">
        <v>205</v>
      </c>
      <c r="L52">
        <v>187</v>
      </c>
      <c r="M52">
        <v>188</v>
      </c>
    </row>
    <row r="53" spans="2:25" x14ac:dyDescent="0.25">
      <c r="B53">
        <v>2603</v>
      </c>
      <c r="C53">
        <v>2587</v>
      </c>
      <c r="D53">
        <v>2564</v>
      </c>
      <c r="E53">
        <v>2605</v>
      </c>
      <c r="F53">
        <v>2568</v>
      </c>
      <c r="G53">
        <v>2564</v>
      </c>
      <c r="H53">
        <v>188</v>
      </c>
      <c r="I53">
        <v>190</v>
      </c>
      <c r="J53">
        <v>185</v>
      </c>
      <c r="L53">
        <v>188</v>
      </c>
      <c r="M53">
        <v>190</v>
      </c>
    </row>
    <row r="54" spans="2:25" x14ac:dyDescent="0.25">
      <c r="B54">
        <v>2595</v>
      </c>
      <c r="C54">
        <v>2579</v>
      </c>
      <c r="D54">
        <v>2606</v>
      </c>
      <c r="E54">
        <v>2600</v>
      </c>
      <c r="F54">
        <v>2566</v>
      </c>
      <c r="G54">
        <v>2535</v>
      </c>
      <c r="H54">
        <v>181</v>
      </c>
      <c r="I54">
        <v>190</v>
      </c>
      <c r="J54">
        <v>185</v>
      </c>
      <c r="L54">
        <v>190</v>
      </c>
      <c r="M54">
        <v>189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11539</v>
      </c>
      <c r="C58">
        <v>5275</v>
      </c>
      <c r="D58">
        <v>3920</v>
      </c>
      <c r="E58">
        <v>8877</v>
      </c>
      <c r="F58">
        <v>9022</v>
      </c>
      <c r="G58">
        <v>5862</v>
      </c>
      <c r="H58">
        <v>2174</v>
      </c>
      <c r="I58">
        <v>913</v>
      </c>
      <c r="J58">
        <v>870</v>
      </c>
      <c r="L58">
        <v>5135</v>
      </c>
      <c r="M58">
        <v>9596</v>
      </c>
      <c r="N58">
        <v>241523562</v>
      </c>
      <c r="O58">
        <v>198474556</v>
      </c>
      <c r="P58">
        <v>79244720</v>
      </c>
      <c r="Q58">
        <v>192142631</v>
      </c>
      <c r="R58">
        <v>243056893</v>
      </c>
      <c r="S58">
        <v>197074556</v>
      </c>
      <c r="T58">
        <v>194475967</v>
      </c>
      <c r="U58">
        <v>198474556</v>
      </c>
      <c r="V58">
        <v>74036454</v>
      </c>
      <c r="X58">
        <v>194475967</v>
      </c>
      <c r="Y58">
        <v>194475967</v>
      </c>
    </row>
    <row r="59" spans="2:25" x14ac:dyDescent="0.25">
      <c r="B59">
        <v>11604</v>
      </c>
      <c r="C59">
        <v>5194</v>
      </c>
      <c r="D59">
        <v>3890</v>
      </c>
      <c r="E59">
        <v>8855</v>
      </c>
      <c r="F59">
        <v>9052</v>
      </c>
      <c r="G59">
        <v>5867</v>
      </c>
      <c r="H59">
        <v>2236</v>
      </c>
      <c r="I59">
        <v>912</v>
      </c>
      <c r="J59">
        <v>894</v>
      </c>
      <c r="L59">
        <v>5297</v>
      </c>
      <c r="M59">
        <v>9905</v>
      </c>
      <c r="N59">
        <v>241523562</v>
      </c>
      <c r="O59">
        <v>198474556</v>
      </c>
      <c r="P59">
        <v>79244720</v>
      </c>
      <c r="Q59">
        <v>192142631</v>
      </c>
      <c r="R59">
        <v>243056893</v>
      </c>
      <c r="S59">
        <v>196074556</v>
      </c>
      <c r="T59">
        <v>194475967</v>
      </c>
      <c r="U59">
        <v>198474556</v>
      </c>
      <c r="V59">
        <v>74036454</v>
      </c>
      <c r="X59">
        <v>194475967</v>
      </c>
      <c r="Y59">
        <v>194475967</v>
      </c>
    </row>
    <row r="60" spans="2:25" x14ac:dyDescent="0.25">
      <c r="B60">
        <v>11587</v>
      </c>
      <c r="C60">
        <v>5179</v>
      </c>
      <c r="D60">
        <v>3914</v>
      </c>
      <c r="E60">
        <v>8870</v>
      </c>
      <c r="F60">
        <v>9029</v>
      </c>
      <c r="G60">
        <v>5855</v>
      </c>
      <c r="H60">
        <v>2262</v>
      </c>
      <c r="I60">
        <v>912</v>
      </c>
      <c r="J60">
        <v>855</v>
      </c>
      <c r="L60">
        <v>5088</v>
      </c>
      <c r="M60">
        <v>9334</v>
      </c>
      <c r="N60">
        <v>240523562</v>
      </c>
      <c r="O60">
        <v>198474556</v>
      </c>
      <c r="P60">
        <v>79244720</v>
      </c>
      <c r="Q60">
        <v>192142631</v>
      </c>
      <c r="R60">
        <v>243056893</v>
      </c>
      <c r="S60">
        <v>196074556</v>
      </c>
      <c r="T60">
        <v>194475967</v>
      </c>
      <c r="U60">
        <v>198474556</v>
      </c>
      <c r="V60">
        <v>74036454</v>
      </c>
      <c r="X60">
        <v>194475967</v>
      </c>
      <c r="Y60">
        <v>194475967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24765</v>
      </c>
      <c r="C64">
        <v>10613</v>
      </c>
      <c r="D64">
        <v>5909</v>
      </c>
      <c r="E64">
        <v>19387</v>
      </c>
      <c r="F64">
        <v>16200</v>
      </c>
      <c r="G64">
        <v>16487</v>
      </c>
      <c r="H64">
        <v>9015</v>
      </c>
      <c r="I64">
        <v>2112</v>
      </c>
      <c r="J64">
        <v>1696</v>
      </c>
      <c r="L64">
        <v>12700</v>
      </c>
      <c r="M64">
        <v>18351</v>
      </c>
    </row>
    <row r="65" spans="2:13" x14ac:dyDescent="0.25">
      <c r="B65">
        <v>24815</v>
      </c>
      <c r="C65">
        <v>10704</v>
      </c>
      <c r="D65">
        <v>5977</v>
      </c>
      <c r="E65">
        <v>19409</v>
      </c>
      <c r="F65">
        <v>16132</v>
      </c>
      <c r="G65">
        <v>16518</v>
      </c>
      <c r="H65">
        <v>8685</v>
      </c>
      <c r="I65">
        <v>2164</v>
      </c>
      <c r="J65">
        <v>1737</v>
      </c>
      <c r="L65">
        <v>12447</v>
      </c>
      <c r="M65">
        <v>18512</v>
      </c>
    </row>
    <row r="66" spans="2:13" x14ac:dyDescent="0.25">
      <c r="B66">
        <v>24807</v>
      </c>
      <c r="C66">
        <v>10618</v>
      </c>
      <c r="D66">
        <v>5949</v>
      </c>
      <c r="E66">
        <v>19435</v>
      </c>
      <c r="F66">
        <v>16120</v>
      </c>
      <c r="G66">
        <v>16470</v>
      </c>
      <c r="H66">
        <v>9195</v>
      </c>
      <c r="I66">
        <v>2084</v>
      </c>
      <c r="J66">
        <v>1686</v>
      </c>
      <c r="L66">
        <v>12683</v>
      </c>
      <c r="M66">
        <v>17807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AVERAGE(Table77[Newtonsoft])</f>
        <v>832.33333333333337</v>
      </c>
      <c r="D38" s="2">
        <f>AVERAGE(Table77[Revenj])</f>
        <v>850.66666666666663</v>
      </c>
      <c r="E38" s="2">
        <f>AVERAGE(Table77[ProtoBuf (binary reference)])</f>
        <v>842.33333333333337</v>
      </c>
      <c r="F38" s="2">
        <f>AVERAGE(Table77[Service Stack])</f>
        <v>826</v>
      </c>
      <c r="G38" s="2">
        <f>AVERAGE(Table77[Jil])</f>
        <v>824.33333333333337</v>
      </c>
      <c r="H38" s="2">
        <f>AVERAGE(Table77[NetJSON])</f>
        <v>826</v>
      </c>
      <c r="I38" s="2">
        <f>AVERAGE(Table77[Jackson])</f>
        <v>255.33333333333334</v>
      </c>
      <c r="J38" s="2">
        <f>AVERAGE(Table77[DSL-JSON])</f>
        <v>195.33333333333334</v>
      </c>
      <c r="K38" s="2">
        <f>AVERAGE(Table77[Kryo (binary reference)])</f>
        <v>212</v>
      </c>
      <c r="L38" s="2" t="e">
        <f>AVERAGE(Table77[Boon])</f>
        <v>#DIV/0!</v>
      </c>
      <c r="M38" s="2">
        <f>AVERAGE(Table77[Alibaba])</f>
        <v>215.66666666666666</v>
      </c>
      <c r="N38" s="2">
        <f>AVERAGE(Table77[Gson])</f>
        <v>216.33333333333334</v>
      </c>
      <c r="O38" s="2"/>
      <c r="P38" s="2"/>
      <c r="Q38" s="2"/>
    </row>
    <row r="39" spans="2:17" x14ac:dyDescent="0.25">
      <c r="B39" t="s">
        <v>0</v>
      </c>
      <c r="C39" s="2">
        <f>AVERAGE(Table76[Newtonsoft]) - C38</f>
        <v>2415</v>
      </c>
      <c r="D39" s="2">
        <f>AVERAGE(Table76[Revenj]) - D38</f>
        <v>524.00000000000011</v>
      </c>
      <c r="E39" s="2">
        <f>AVERAGE(Table76[ProtoBuf (binary reference)]) - E38</f>
        <v>365.99999999999989</v>
      </c>
      <c r="F39" s="2">
        <f>AVERAGE(Table76[Service Stack]) - F38</f>
        <v>1948.6666666666665</v>
      </c>
      <c r="G39" s="2">
        <f>AVERAGE(Table76[Jil]) - G38</f>
        <v>1825.333333333333</v>
      </c>
      <c r="H39" s="2">
        <f>AVERAGE(Table76[NetJSON]) - H38</f>
        <v>1093.3333333333333</v>
      </c>
      <c r="I39" s="2">
        <f>AVERAGE(Table76[Jackson]) - I38</f>
        <v>897.99999999999989</v>
      </c>
      <c r="J39" s="2">
        <f>AVERAGE(Table76[DSL-JSON]) - J38</f>
        <v>526.33333333333326</v>
      </c>
      <c r="K39" s="2">
        <f>AVERAGE(Table76[Kryo (binary reference)]) - K38</f>
        <v>291</v>
      </c>
      <c r="L39" s="2" t="e">
        <f>AVERAGE(Table76[Boon]) - L38</f>
        <v>#DIV/0!</v>
      </c>
      <c r="M39" s="2">
        <f>AVERAGE(Table76[Alibaba]) - M38</f>
        <v>954.33333333333337</v>
      </c>
      <c r="N39" s="2">
        <f>AVERAGE(Table76[Gson]) - N38</f>
        <v>2772.6666666666665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2912.3333333333335</v>
      </c>
      <c r="D40" s="2">
        <f t="shared" si="0"/>
        <v>1114.666666666667</v>
      </c>
      <c r="E40" s="2">
        <f t="shared" ref="E40" si="1">E41 - E39 - E38</f>
        <v>627.66666666666663</v>
      </c>
      <c r="F40" s="2">
        <f t="shared" si="0"/>
        <v>3655.6666666666661</v>
      </c>
      <c r="G40" s="2">
        <f t="shared" si="0"/>
        <v>1623.3333333333335</v>
      </c>
      <c r="H40" s="2">
        <f t="shared" si="0"/>
        <v>3502.666666666667</v>
      </c>
      <c r="I40" s="2">
        <f t="shared" ref="I40" si="2">I41 - I39 - I38</f>
        <v>1690.6666666666667</v>
      </c>
      <c r="J40" s="2">
        <f t="shared" ref="J40" si="3">J41 - J39 - J38</f>
        <v>232.3333333333334</v>
      </c>
      <c r="K40" s="2">
        <f t="shared" ref="K40:L40" si="4">K41 - K39 - K38</f>
        <v>302</v>
      </c>
      <c r="L40" s="2" t="e">
        <f t="shared" si="4"/>
        <v>#DIV/0!</v>
      </c>
      <c r="M40" s="2">
        <f t="shared" ref="M40" si="5">M41 - M39 - M38</f>
        <v>2171.6666666666665</v>
      </c>
      <c r="N40" s="2">
        <f t="shared" ref="N40" si="6">N41 - N39 - N38</f>
        <v>2318.333333333333</v>
      </c>
      <c r="O40" s="2"/>
      <c r="P40" s="2"/>
      <c r="Q40" s="2"/>
    </row>
    <row r="41" spans="2:17" x14ac:dyDescent="0.25">
      <c r="B41" t="s">
        <v>23</v>
      </c>
      <c r="C41" s="2">
        <f>AVERAGE(Table78[Newtonsoft])</f>
        <v>6159.666666666667</v>
      </c>
      <c r="D41" s="2">
        <f>AVERAGE(Table78[Revenj])</f>
        <v>2489.3333333333335</v>
      </c>
      <c r="E41" s="2">
        <f>AVERAGE(Table78[ProtoBuf (binary reference)])</f>
        <v>1836</v>
      </c>
      <c r="F41" s="2">
        <f>AVERAGE(Table78[Service Stack])</f>
        <v>6430.333333333333</v>
      </c>
      <c r="G41" s="2">
        <f>AVERAGE(Table78[Jil])</f>
        <v>4273</v>
      </c>
      <c r="H41" s="2">
        <f>AVERAGE(Table78[NetJSON])</f>
        <v>5422</v>
      </c>
      <c r="I41" s="2">
        <f>AVERAGE(Table78[Jackson])</f>
        <v>2844</v>
      </c>
      <c r="J41" s="2">
        <f>AVERAGE(Table78[DSL-JSON])</f>
        <v>954</v>
      </c>
      <c r="K41" s="2">
        <f>AVERAGE(Table78[Kryo (binary reference)])</f>
        <v>805</v>
      </c>
      <c r="L41" s="2" t="e">
        <f>AVERAGE(Table78[Boon])</f>
        <v>#DIV/0!</v>
      </c>
      <c r="M41" s="2">
        <f>AVERAGE(Table78[Alibaba])</f>
        <v>3341.6666666666665</v>
      </c>
      <c r="N41" s="2">
        <f>AVERAGE(Table78[Gson])</f>
        <v>5307.333333333333</v>
      </c>
      <c r="O41" s="2"/>
      <c r="P41" s="2"/>
      <c r="Q41" s="2"/>
    </row>
    <row r="42" spans="2:17" x14ac:dyDescent="0.25">
      <c r="B42" t="s">
        <v>4</v>
      </c>
      <c r="C42" s="3">
        <f>AVERAGE(Table76[Newtonsoft (size)])</f>
        <v>84221352</v>
      </c>
      <c r="D42" s="3">
        <f>AVERAGE(Table76[Revenj (size)])</f>
        <v>73494967</v>
      </c>
      <c r="E42" s="3">
        <f>AVERAGE(Table76[ProtoBuf (size)])</f>
        <v>35094918</v>
      </c>
      <c r="F42" s="3">
        <f>AVERAGE(Table76[Service Stack (size)])</f>
        <v>79509317</v>
      </c>
      <c r="G42" s="2">
        <f>AVERAGE(Table76[Jil (size)])</f>
        <v>84298017</v>
      </c>
      <c r="H42" s="2">
        <f>AVERAGE(Table76[NetJSON (size)])</f>
        <v>78878921.666666672</v>
      </c>
      <c r="I42" s="2">
        <f>AVERAGE(Table76[Jackson (size)])</f>
        <v>73117617</v>
      </c>
      <c r="J42" s="2">
        <f>AVERAGE(Table76[DSL-JSON (size)])</f>
        <v>73494967</v>
      </c>
      <c r="K42" s="2">
        <f>AVERAGE(Table76[Kryo (size)])</f>
        <v>31184505</v>
      </c>
      <c r="L42" s="2" t="e">
        <f>AVERAGE(Table76[Boon (size)])</f>
        <v>#DIV/0!</v>
      </c>
      <c r="M42" s="2">
        <f>AVERAGE(Table76[Alibaba (size)])</f>
        <v>73117617</v>
      </c>
      <c r="N42" s="2">
        <f>AVERAGE(Table76[Gson (size)])</f>
        <v>73117617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DEVSQ(Table76[Newtonsoft])</f>
        <v>66.666666666666671</v>
      </c>
      <c r="D47" s="2">
        <f>DEVSQ(Table76[Revenj])</f>
        <v>4.666666666666667</v>
      </c>
      <c r="E47" s="2">
        <f>DEVSQ(Table76[ProtoBuf (binary reference)])</f>
        <v>10.666666666666668</v>
      </c>
      <c r="F47" s="2">
        <f>DEVSQ(Table76[Service Stack])</f>
        <v>50.666666666666671</v>
      </c>
      <c r="G47" s="2">
        <f>DEVSQ(Table76[Jil])</f>
        <v>16.666666666666664</v>
      </c>
      <c r="H47" s="2">
        <f>DEVSQ(Table76[NetJSON])</f>
        <v>18.666666666666668</v>
      </c>
      <c r="I47" s="2">
        <f>DEVSQ(Table76[Jackson])</f>
        <v>1298.6666666666667</v>
      </c>
      <c r="J47" s="2">
        <f>DEVSQ(Table76[DSL-JSON])</f>
        <v>36208.666666666664</v>
      </c>
      <c r="K47" s="2">
        <f>DEVSQ(Table76[Kryo (binary reference)])</f>
        <v>2342</v>
      </c>
      <c r="L47" s="2" t="e">
        <f>DEVSQ(Table76[Boon])</f>
        <v>#NUM!</v>
      </c>
      <c r="M47" s="2">
        <f>DEVSQ(Table76[Alibaba])</f>
        <v>14694</v>
      </c>
      <c r="N47" s="2">
        <f>DEVSQ(Table76[Gson])</f>
        <v>7178</v>
      </c>
      <c r="O47" s="2"/>
      <c r="P47" s="2"/>
      <c r="Q47" s="2"/>
    </row>
    <row r="48" spans="2:17" x14ac:dyDescent="0.25">
      <c r="B48" t="s">
        <v>23</v>
      </c>
      <c r="C48" s="2">
        <f>DEVSQ(Table78[Newtonsoft])</f>
        <v>488.66666666666669</v>
      </c>
      <c r="D48" s="2">
        <f>DEVSQ(Table78[Revenj])</f>
        <v>1698.6666666666667</v>
      </c>
      <c r="E48" s="2">
        <f>DEVSQ(Table78[ProtoBuf (binary reference)])</f>
        <v>8</v>
      </c>
      <c r="F48" s="2">
        <f>DEVSQ(Table78[Service Stack])</f>
        <v>522.66666666666674</v>
      </c>
      <c r="G48" s="2">
        <f>DEVSQ(Table78[Jil])</f>
        <v>1046</v>
      </c>
      <c r="H48" s="2">
        <f>DEVSQ(Table78[NetJSON])</f>
        <v>294</v>
      </c>
      <c r="I48" s="2">
        <f>DEVSQ(Table78[Jackson])</f>
        <v>7658</v>
      </c>
      <c r="J48" s="2">
        <f>DEVSQ(Table78[DSL-JSON])</f>
        <v>2546</v>
      </c>
      <c r="K48" s="2">
        <f>DEVSQ(Table78[Kryo (binary reference)])</f>
        <v>1634</v>
      </c>
      <c r="L48" s="2" t="e">
        <f>DEVSQ(Table78[Boon])</f>
        <v>#NUM!</v>
      </c>
      <c r="M48" s="2">
        <f>DEVSQ(Table78[Alibaba])</f>
        <v>33224.666666666664</v>
      </c>
      <c r="N48" s="2">
        <f>DEVSQ(Table78[Gson])</f>
        <v>59672.666666666664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829</v>
      </c>
      <c r="C52">
        <v>844</v>
      </c>
      <c r="D52">
        <v>844</v>
      </c>
      <c r="E52">
        <v>826</v>
      </c>
      <c r="F52">
        <v>827</v>
      </c>
      <c r="G52">
        <v>826</v>
      </c>
      <c r="H52">
        <v>296</v>
      </c>
      <c r="I52">
        <v>202</v>
      </c>
      <c r="J52">
        <v>206</v>
      </c>
      <c r="L52">
        <v>214</v>
      </c>
      <c r="M52">
        <v>224</v>
      </c>
    </row>
    <row r="53" spans="2:25" x14ac:dyDescent="0.25">
      <c r="B53">
        <v>834</v>
      </c>
      <c r="C53">
        <v>846</v>
      </c>
      <c r="D53">
        <v>840</v>
      </c>
      <c r="E53">
        <v>828</v>
      </c>
      <c r="F53">
        <v>822</v>
      </c>
      <c r="G53">
        <v>827</v>
      </c>
      <c r="H53">
        <v>264</v>
      </c>
      <c r="I53">
        <v>190</v>
      </c>
      <c r="J53">
        <v>219</v>
      </c>
      <c r="L53">
        <v>215</v>
      </c>
      <c r="M53">
        <v>213</v>
      </c>
    </row>
    <row r="54" spans="2:25" x14ac:dyDescent="0.25">
      <c r="B54">
        <v>834</v>
      </c>
      <c r="C54">
        <v>862</v>
      </c>
      <c r="D54">
        <v>843</v>
      </c>
      <c r="E54">
        <v>824</v>
      </c>
      <c r="F54">
        <v>824</v>
      </c>
      <c r="G54">
        <v>825</v>
      </c>
      <c r="H54">
        <v>206</v>
      </c>
      <c r="I54">
        <v>194</v>
      </c>
      <c r="J54">
        <v>211</v>
      </c>
      <c r="L54">
        <v>218</v>
      </c>
      <c r="M54">
        <v>212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3244</v>
      </c>
      <c r="C58">
        <v>1373</v>
      </c>
      <c r="D58">
        <v>1207</v>
      </c>
      <c r="E58">
        <v>2774</v>
      </c>
      <c r="F58">
        <v>2653</v>
      </c>
      <c r="G58">
        <v>1922</v>
      </c>
      <c r="H58">
        <v>1170</v>
      </c>
      <c r="I58">
        <v>660</v>
      </c>
      <c r="J58">
        <v>478</v>
      </c>
      <c r="L58">
        <v>1088</v>
      </c>
      <c r="M58">
        <v>2977</v>
      </c>
      <c r="N58">
        <v>84221352</v>
      </c>
      <c r="O58">
        <v>73494967</v>
      </c>
      <c r="P58">
        <v>35094918</v>
      </c>
      <c r="Q58">
        <v>79509317</v>
      </c>
      <c r="R58">
        <v>84298017</v>
      </c>
      <c r="S58">
        <v>78878395</v>
      </c>
      <c r="T58">
        <v>73117617</v>
      </c>
      <c r="U58">
        <v>73494967</v>
      </c>
      <c r="V58">
        <v>31184505</v>
      </c>
      <c r="X58">
        <v>73117617</v>
      </c>
      <c r="Y58">
        <v>73117617</v>
      </c>
    </row>
    <row r="59" spans="2:25" x14ac:dyDescent="0.25">
      <c r="B59">
        <v>3254</v>
      </c>
      <c r="C59">
        <v>1376</v>
      </c>
      <c r="D59">
        <v>1211</v>
      </c>
      <c r="E59">
        <v>2770</v>
      </c>
      <c r="F59">
        <v>2648</v>
      </c>
      <c r="G59">
        <v>1920</v>
      </c>
      <c r="H59">
        <v>1124</v>
      </c>
      <c r="I59">
        <v>629</v>
      </c>
      <c r="J59">
        <v>542</v>
      </c>
      <c r="L59">
        <v>1259</v>
      </c>
      <c r="M59">
        <v>2936</v>
      </c>
      <c r="N59">
        <v>84221352</v>
      </c>
      <c r="O59">
        <v>73494967</v>
      </c>
      <c r="P59">
        <v>35094918</v>
      </c>
      <c r="Q59">
        <v>79509317</v>
      </c>
      <c r="R59">
        <v>84298017</v>
      </c>
      <c r="S59">
        <v>78878675</v>
      </c>
      <c r="T59">
        <v>73117617</v>
      </c>
      <c r="U59">
        <v>73494967</v>
      </c>
      <c r="V59">
        <v>31184505</v>
      </c>
      <c r="X59">
        <v>73117617</v>
      </c>
      <c r="Y59">
        <v>73117617</v>
      </c>
    </row>
    <row r="60" spans="2:25" x14ac:dyDescent="0.25">
      <c r="B60">
        <v>3244</v>
      </c>
      <c r="C60">
        <v>1375</v>
      </c>
      <c r="D60">
        <v>1207</v>
      </c>
      <c r="E60">
        <v>2780</v>
      </c>
      <c r="F60">
        <v>2648</v>
      </c>
      <c r="G60">
        <v>1916</v>
      </c>
      <c r="H60">
        <v>1166</v>
      </c>
      <c r="I60">
        <v>876</v>
      </c>
      <c r="J60">
        <v>489</v>
      </c>
      <c r="L60">
        <v>1163</v>
      </c>
      <c r="M60">
        <v>3054</v>
      </c>
      <c r="N60">
        <v>84221352</v>
      </c>
      <c r="O60">
        <v>73494967</v>
      </c>
      <c r="P60">
        <v>35094918</v>
      </c>
      <c r="Q60">
        <v>79509317</v>
      </c>
      <c r="R60">
        <v>84298017</v>
      </c>
      <c r="S60">
        <v>78879695</v>
      </c>
      <c r="T60">
        <v>73117617</v>
      </c>
      <c r="U60">
        <v>73494967</v>
      </c>
      <c r="V60">
        <v>31184505</v>
      </c>
      <c r="X60">
        <v>73117617</v>
      </c>
      <c r="Y60">
        <v>73117617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6162</v>
      </c>
      <c r="C64">
        <v>2480</v>
      </c>
      <c r="D64">
        <v>1836</v>
      </c>
      <c r="E64">
        <v>6433</v>
      </c>
      <c r="F64">
        <v>4282</v>
      </c>
      <c r="G64">
        <v>5415</v>
      </c>
      <c r="H64">
        <v>2832</v>
      </c>
      <c r="I64">
        <v>993</v>
      </c>
      <c r="J64">
        <v>814</v>
      </c>
      <c r="L64">
        <v>3373</v>
      </c>
      <c r="M64">
        <v>5243</v>
      </c>
    </row>
    <row r="65" spans="2:13" x14ac:dyDescent="0.25">
      <c r="B65">
        <v>6174</v>
      </c>
      <c r="C65">
        <v>2466</v>
      </c>
      <c r="D65">
        <v>1838</v>
      </c>
      <c r="E65">
        <v>6445</v>
      </c>
      <c r="F65">
        <v>4290</v>
      </c>
      <c r="G65">
        <v>5415</v>
      </c>
      <c r="H65">
        <v>2911</v>
      </c>
      <c r="I65">
        <v>923</v>
      </c>
      <c r="J65">
        <v>773</v>
      </c>
      <c r="L65">
        <v>3452</v>
      </c>
      <c r="M65">
        <v>5503</v>
      </c>
    </row>
    <row r="66" spans="2:13" x14ac:dyDescent="0.25">
      <c r="B66">
        <v>6143</v>
      </c>
      <c r="C66">
        <v>2522</v>
      </c>
      <c r="D66">
        <v>1834</v>
      </c>
      <c r="E66">
        <v>6413</v>
      </c>
      <c r="F66">
        <v>4247</v>
      </c>
      <c r="G66">
        <v>5436</v>
      </c>
      <c r="H66">
        <v>2789</v>
      </c>
      <c r="I66">
        <v>946</v>
      </c>
      <c r="J66">
        <v>828</v>
      </c>
      <c r="L66">
        <v>3200</v>
      </c>
      <c r="M66">
        <v>5176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AVERAGE(Table82[Newtonsoft])</f>
        <v>8231.3333333333339</v>
      </c>
      <c r="D38" s="2">
        <f>AVERAGE(Table82[Revenj])</f>
        <v>8449.3333333333339</v>
      </c>
      <c r="E38" s="2">
        <f>AVERAGE(Table82[ProtoBuf (binary reference)])</f>
        <v>8408.3333333333339</v>
      </c>
      <c r="F38" s="2">
        <f>AVERAGE(Table82[Service Stack])</f>
        <v>8143.333333333333</v>
      </c>
      <c r="G38" s="2">
        <f>AVERAGE(Table82[Jil])</f>
        <v>8197.6666666666661</v>
      </c>
      <c r="H38" s="2">
        <f>AVERAGE(Table82[NetJSON])</f>
        <v>8074</v>
      </c>
      <c r="I38" s="2">
        <f>AVERAGE(Table82[Jackson])</f>
        <v>1248.6666666666667</v>
      </c>
      <c r="J38" s="2">
        <f>AVERAGE(Table82[DSL-JSON])</f>
        <v>1308.6666666666667</v>
      </c>
      <c r="K38" s="2">
        <f>AVERAGE(Table82[Kryo (binary reference)])</f>
        <v>1259.3333333333333</v>
      </c>
      <c r="L38" s="2" t="e">
        <f>AVERAGE(Table82[Boon])</f>
        <v>#DIV/0!</v>
      </c>
      <c r="M38" s="2">
        <f>AVERAGE(Table82[Alibaba])</f>
        <v>1249.6666666666667</v>
      </c>
      <c r="N38" s="2">
        <f>AVERAGE(Table82[Gson])</f>
        <v>1241.6666666666667</v>
      </c>
      <c r="O38" s="2"/>
      <c r="P38" s="2"/>
      <c r="Q38" s="2"/>
    </row>
    <row r="39" spans="2:17" x14ac:dyDescent="0.25">
      <c r="B39" t="s">
        <v>0</v>
      </c>
      <c r="C39" s="2">
        <f>AVERAGE(Table81[Newtonsoft]) - C38</f>
        <v>24135.666666666664</v>
      </c>
      <c r="D39" s="2">
        <f>AVERAGE(Table81[Revenj]) - D38</f>
        <v>5083.3333333333321</v>
      </c>
      <c r="E39" s="2">
        <f>AVERAGE(Table81[ProtoBuf (binary reference)]) - E38</f>
        <v>3415</v>
      </c>
      <c r="F39" s="2">
        <f>AVERAGE(Table81[Service Stack]) - F38</f>
        <v>19105.666666666668</v>
      </c>
      <c r="G39" s="2">
        <f>AVERAGE(Table81[Jil]) - G38</f>
        <v>17655</v>
      </c>
      <c r="H39" s="2">
        <f>AVERAGE(Table81[NetJSON]) - H38</f>
        <v>10572</v>
      </c>
      <c r="I39" s="2">
        <f>AVERAGE(Table81[Jackson]) - I38</f>
        <v>6999.9999999999991</v>
      </c>
      <c r="J39" s="2">
        <f>AVERAGE(Table81[DSL-JSON]) - J38</f>
        <v>2291</v>
      </c>
      <c r="K39" s="2">
        <f>AVERAGE(Table81[Kryo (binary reference)]) - K38</f>
        <v>1869.6666666666667</v>
      </c>
      <c r="L39" s="2" t="e">
        <f>AVERAGE(Table81[Boon]) - L38</f>
        <v>#DIV/0!</v>
      </c>
      <c r="M39" s="2">
        <f>AVERAGE(Table81[Alibaba]) - M38</f>
        <v>7836.333333333333</v>
      </c>
      <c r="N39" s="2">
        <f>AVERAGE(Table81[Gson]) - N38</f>
        <v>24288.333333333332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28572.666666666664</v>
      </c>
      <c r="D40" s="2">
        <f t="shared" si="0"/>
        <v>10661.333333333334</v>
      </c>
      <c r="E40" s="2">
        <f t="shared" ref="E40" si="1">E41 - E39 - E38</f>
        <v>6141.9999999999982</v>
      </c>
      <c r="F40" s="2">
        <f t="shared" si="0"/>
        <v>37015.666666666664</v>
      </c>
      <c r="G40" s="2">
        <f t="shared" si="0"/>
        <v>15430.999999999998</v>
      </c>
      <c r="H40" s="2">
        <f t="shared" si="0"/>
        <v>34569</v>
      </c>
      <c r="I40" s="2">
        <f t="shared" ref="I40" si="2">I41 - I39 - I38</f>
        <v>15830.666666666666</v>
      </c>
      <c r="J40" s="2">
        <f t="shared" ref="J40" si="3">J41 - J39 - J38</f>
        <v>2728</v>
      </c>
      <c r="K40" s="2">
        <f t="shared" ref="K40:L40" si="4">K41 - K39 - K38</f>
        <v>2393</v>
      </c>
      <c r="L40" s="2" t="e">
        <f t="shared" si="4"/>
        <v>#DIV/0!</v>
      </c>
      <c r="M40" s="2">
        <f t="shared" ref="M40" si="5">M41 - M39 - M38</f>
        <v>14134.000000000002</v>
      </c>
      <c r="N40" s="2">
        <f t="shared" ref="N40" si="6">N41 - N39 - N38</f>
        <v>19640.333333333336</v>
      </c>
      <c r="O40" s="2"/>
      <c r="P40" s="2"/>
      <c r="Q40" s="2"/>
    </row>
    <row r="41" spans="2:17" x14ac:dyDescent="0.25">
      <c r="B41" t="s">
        <v>23</v>
      </c>
      <c r="C41" s="2">
        <f>AVERAGE(Table83[Newtonsoft])</f>
        <v>60939.666666666664</v>
      </c>
      <c r="D41" s="2">
        <f>AVERAGE(Table83[Revenj])</f>
        <v>24194</v>
      </c>
      <c r="E41" s="2">
        <f>AVERAGE(Table83[ProtoBuf (binary reference)])</f>
        <v>17965.333333333332</v>
      </c>
      <c r="F41" s="2">
        <f>AVERAGE(Table83[Service Stack])</f>
        <v>64264.666666666664</v>
      </c>
      <c r="G41" s="2">
        <f>AVERAGE(Table83[Jil])</f>
        <v>41283.666666666664</v>
      </c>
      <c r="H41" s="2">
        <f>AVERAGE(Table83[NetJSON])</f>
        <v>53215</v>
      </c>
      <c r="I41" s="2">
        <f>AVERAGE(Table83[Jackson])</f>
        <v>24079.333333333332</v>
      </c>
      <c r="J41" s="2">
        <f>AVERAGE(Table83[DSL-JSON])</f>
        <v>6327.666666666667</v>
      </c>
      <c r="K41" s="2">
        <f>AVERAGE(Table83[Kryo (binary reference)])</f>
        <v>5522</v>
      </c>
      <c r="L41" s="2" t="e">
        <f>AVERAGE(Table83[Boon])</f>
        <v>#DIV/0!</v>
      </c>
      <c r="M41" s="2">
        <f>AVERAGE(Table83[Alibaba])</f>
        <v>23220</v>
      </c>
      <c r="N41" s="2">
        <f>AVERAGE(Table83[Gson])</f>
        <v>45170.333333333336</v>
      </c>
      <c r="O41" s="2"/>
      <c r="P41" s="2"/>
      <c r="Q41" s="2"/>
    </row>
    <row r="42" spans="2:17" x14ac:dyDescent="0.25">
      <c r="B42" t="s">
        <v>4</v>
      </c>
      <c r="C42" s="3">
        <f>AVERAGE(Table81[Newtonsoft (size)])</f>
        <v>852604452</v>
      </c>
      <c r="D42" s="3">
        <f>AVERAGE(Table81[Revenj (size)])</f>
        <v>745341367</v>
      </c>
      <c r="E42" s="3">
        <f>AVERAGE(Table81[ProtoBuf (size)])</f>
        <v>361164198</v>
      </c>
      <c r="F42" s="3">
        <f>AVERAGE(Table81[Service Stack (size)])</f>
        <v>805544996</v>
      </c>
      <c r="G42" s="2">
        <f>AVERAGE(Table81[Jil (size)])</f>
        <v>853371117</v>
      </c>
      <c r="H42" s="2">
        <f>AVERAGE(Table81[NetJSON (size)])</f>
        <v>799180508.33333337</v>
      </c>
      <c r="I42" s="2">
        <f>AVERAGE(Table81[Jackson (size)])</f>
        <v>741567117</v>
      </c>
      <c r="J42" s="2">
        <f>AVERAGE(Table81[DSL-JSON (size)])</f>
        <v>745341367</v>
      </c>
      <c r="K42" s="2">
        <f>AVERAGE(Table81[Kryo (size)])</f>
        <v>322172245</v>
      </c>
      <c r="L42" s="2" t="e">
        <f>AVERAGE(Table81[Boon (size)])</f>
        <v>#DIV/0!</v>
      </c>
      <c r="M42" s="2">
        <f>AVERAGE(Table81[Alibaba (size)])</f>
        <v>741567117</v>
      </c>
      <c r="N42" s="2">
        <f>AVERAGE(Table81[Gson (size)])</f>
        <v>741567117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DEVSQ(Table81[Newtonsoft])</f>
        <v>650696</v>
      </c>
      <c r="D47" s="2">
        <f>DEVSQ(Table81[Revenj])</f>
        <v>14242.666666666666</v>
      </c>
      <c r="E47" s="2">
        <f>DEVSQ(Table81[ProtoBuf (binary reference)])</f>
        <v>1418.6666666666667</v>
      </c>
      <c r="F47" s="2">
        <f>DEVSQ(Table81[Service Stack])</f>
        <v>115458</v>
      </c>
      <c r="G47" s="2">
        <f>DEVSQ(Table81[Jil])</f>
        <v>4464.666666666667</v>
      </c>
      <c r="H47" s="2">
        <f>DEVSQ(Table81[NetJSON])</f>
        <v>626</v>
      </c>
      <c r="I47" s="2">
        <f>DEVSQ(Table81[Jackson])</f>
        <v>143428.66666666669</v>
      </c>
      <c r="J47" s="2">
        <f>DEVSQ(Table81[DSL-JSON])</f>
        <v>31490.666666666668</v>
      </c>
      <c r="K47" s="2">
        <f>DEVSQ(Table81[Kryo (binary reference)])</f>
        <v>8664</v>
      </c>
      <c r="L47" s="2" t="e">
        <f>DEVSQ(Table81[Boon])</f>
        <v>#NUM!</v>
      </c>
      <c r="M47" s="2">
        <f>DEVSQ(Table81[Alibaba])</f>
        <v>93002</v>
      </c>
      <c r="N47" s="2">
        <f>DEVSQ(Table81[Gson])</f>
        <v>338846</v>
      </c>
      <c r="O47" s="2"/>
      <c r="P47" s="2"/>
      <c r="Q47" s="2"/>
    </row>
    <row r="48" spans="2:17" x14ac:dyDescent="0.25">
      <c r="B48" t="s">
        <v>23</v>
      </c>
      <c r="C48" s="2">
        <f>DEVSQ(Table83[Newtonsoft])</f>
        <v>24116.666666666668</v>
      </c>
      <c r="D48" s="2">
        <f>DEVSQ(Table83[Revenj])</f>
        <v>4578</v>
      </c>
      <c r="E48" s="2">
        <f>DEVSQ(Table83[ProtoBuf (binary reference)])</f>
        <v>12628.666666666664</v>
      </c>
      <c r="F48" s="2">
        <f>DEVSQ(Table83[Service Stack])</f>
        <v>16108.666666666668</v>
      </c>
      <c r="G48" s="2">
        <f>DEVSQ(Table83[Jil])</f>
        <v>23188.666666666668</v>
      </c>
      <c r="H48" s="2">
        <f>DEVSQ(Table83[NetJSON])</f>
        <v>4406</v>
      </c>
      <c r="I48" s="2">
        <f>DEVSQ(Table83[Jackson])</f>
        <v>26200.666666666664</v>
      </c>
      <c r="J48" s="2">
        <f>DEVSQ(Table83[DSL-JSON])</f>
        <v>992.66666666666652</v>
      </c>
      <c r="K48" s="2">
        <f>DEVSQ(Table83[Kryo (binary reference)])</f>
        <v>4064</v>
      </c>
      <c r="L48" s="2" t="e">
        <f>DEVSQ(Table83[Boon])</f>
        <v>#NUM!</v>
      </c>
      <c r="M48" s="2">
        <f>DEVSQ(Table83[Alibaba])</f>
        <v>127608</v>
      </c>
      <c r="N48" s="2">
        <f>DEVSQ(Table83[Gson])</f>
        <v>1026370.6666666666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8216</v>
      </c>
      <c r="C52">
        <v>8359</v>
      </c>
      <c r="D52">
        <v>8386</v>
      </c>
      <c r="E52">
        <v>8154</v>
      </c>
      <c r="F52">
        <v>8122</v>
      </c>
      <c r="G52">
        <v>8077</v>
      </c>
      <c r="H52">
        <v>1272</v>
      </c>
      <c r="I52">
        <v>1337</v>
      </c>
      <c r="J52">
        <v>1269</v>
      </c>
      <c r="L52">
        <v>1212</v>
      </c>
      <c r="M52">
        <v>1255</v>
      </c>
    </row>
    <row r="53" spans="2:25" x14ac:dyDescent="0.25">
      <c r="B53">
        <v>8213</v>
      </c>
      <c r="C53">
        <v>8512</v>
      </c>
      <c r="D53">
        <v>8338</v>
      </c>
      <c r="E53">
        <v>8164</v>
      </c>
      <c r="F53">
        <v>8104</v>
      </c>
      <c r="G53">
        <v>8105</v>
      </c>
      <c r="H53">
        <v>1256</v>
      </c>
      <c r="I53">
        <v>1288</v>
      </c>
      <c r="J53">
        <v>1263</v>
      </c>
      <c r="L53">
        <v>1272</v>
      </c>
      <c r="M53">
        <v>1250</v>
      </c>
    </row>
    <row r="54" spans="2:25" x14ac:dyDescent="0.25">
      <c r="B54">
        <v>8265</v>
      </c>
      <c r="C54">
        <v>8477</v>
      </c>
      <c r="D54">
        <v>8501</v>
      </c>
      <c r="E54">
        <v>8112</v>
      </c>
      <c r="F54">
        <v>8367</v>
      </c>
      <c r="G54">
        <v>8040</v>
      </c>
      <c r="H54">
        <v>1218</v>
      </c>
      <c r="I54">
        <v>1301</v>
      </c>
      <c r="J54">
        <v>1246</v>
      </c>
      <c r="L54">
        <v>1265</v>
      </c>
      <c r="M54">
        <v>1220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32013</v>
      </c>
      <c r="C58">
        <v>13630</v>
      </c>
      <c r="D58">
        <v>11806</v>
      </c>
      <c r="E58">
        <v>27526</v>
      </c>
      <c r="F58">
        <v>25888</v>
      </c>
      <c r="G58">
        <v>18665</v>
      </c>
      <c r="H58">
        <v>8361</v>
      </c>
      <c r="I58">
        <v>3679</v>
      </c>
      <c r="J58">
        <v>3055</v>
      </c>
      <c r="L58">
        <v>9027</v>
      </c>
      <c r="M58">
        <v>25089</v>
      </c>
      <c r="N58">
        <v>852604452</v>
      </c>
      <c r="O58">
        <v>745341367</v>
      </c>
      <c r="P58">
        <v>361164198</v>
      </c>
      <c r="Q58">
        <v>805544996</v>
      </c>
      <c r="R58">
        <v>853371117</v>
      </c>
      <c r="S58">
        <v>799184175</v>
      </c>
      <c r="T58">
        <v>741567117</v>
      </c>
      <c r="U58">
        <v>745341367</v>
      </c>
      <c r="V58">
        <v>322172245</v>
      </c>
      <c r="X58">
        <v>741567117</v>
      </c>
      <c r="Y58">
        <v>741567117</v>
      </c>
    </row>
    <row r="59" spans="2:25" x14ac:dyDescent="0.25">
      <c r="B59">
        <v>32063</v>
      </c>
      <c r="C59">
        <v>13488</v>
      </c>
      <c r="D59">
        <v>11854</v>
      </c>
      <c r="E59">
        <v>27124</v>
      </c>
      <c r="F59">
        <v>25799</v>
      </c>
      <c r="G59">
        <v>18630</v>
      </c>
      <c r="H59">
        <v>7943</v>
      </c>
      <c r="I59">
        <v>3455</v>
      </c>
      <c r="J59">
        <v>3151</v>
      </c>
      <c r="L59">
        <v>8906</v>
      </c>
      <c r="M59">
        <v>25904</v>
      </c>
      <c r="N59">
        <v>852604452</v>
      </c>
      <c r="O59">
        <v>745341367</v>
      </c>
      <c r="P59">
        <v>361164198</v>
      </c>
      <c r="Q59">
        <v>805544996</v>
      </c>
      <c r="R59">
        <v>853371117</v>
      </c>
      <c r="S59">
        <v>799195575</v>
      </c>
      <c r="T59">
        <v>741567117</v>
      </c>
      <c r="U59">
        <v>745341367</v>
      </c>
      <c r="V59">
        <v>322172245</v>
      </c>
      <c r="X59">
        <v>741567117</v>
      </c>
      <c r="Y59">
        <v>741567117</v>
      </c>
    </row>
    <row r="60" spans="2:25" x14ac:dyDescent="0.25">
      <c r="B60">
        <v>33025</v>
      </c>
      <c r="C60">
        <v>13480</v>
      </c>
      <c r="D60">
        <v>11810</v>
      </c>
      <c r="E60">
        <v>27097</v>
      </c>
      <c r="F60">
        <v>25871</v>
      </c>
      <c r="G60">
        <v>18643</v>
      </c>
      <c r="H60">
        <v>8442</v>
      </c>
      <c r="I60">
        <v>3665</v>
      </c>
      <c r="J60">
        <v>3181</v>
      </c>
      <c r="L60">
        <v>9325</v>
      </c>
      <c r="M60">
        <v>25597</v>
      </c>
      <c r="N60">
        <v>852604452</v>
      </c>
      <c r="O60">
        <v>745341367</v>
      </c>
      <c r="P60">
        <v>361164198</v>
      </c>
      <c r="Q60">
        <v>805544996</v>
      </c>
      <c r="R60">
        <v>853371117</v>
      </c>
      <c r="S60">
        <v>799161775</v>
      </c>
      <c r="T60">
        <v>741567117</v>
      </c>
      <c r="U60">
        <v>745341367</v>
      </c>
      <c r="V60">
        <v>322172245</v>
      </c>
      <c r="X60">
        <v>741567117</v>
      </c>
      <c r="Y60">
        <v>741567117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60813</v>
      </c>
      <c r="C64">
        <v>24247</v>
      </c>
      <c r="D64">
        <v>18057</v>
      </c>
      <c r="E64">
        <v>64358</v>
      </c>
      <c r="F64">
        <v>41222</v>
      </c>
      <c r="G64">
        <v>53184</v>
      </c>
      <c r="H64">
        <v>24055</v>
      </c>
      <c r="I64">
        <v>6342</v>
      </c>
      <c r="J64">
        <v>5546</v>
      </c>
      <c r="L64">
        <v>23200</v>
      </c>
      <c r="M64">
        <v>44345</v>
      </c>
    </row>
    <row r="65" spans="2:13" x14ac:dyDescent="0.25">
      <c r="B65">
        <v>60998</v>
      </c>
      <c r="C65">
        <v>24154</v>
      </c>
      <c r="D65">
        <v>17916</v>
      </c>
      <c r="E65">
        <v>64179</v>
      </c>
      <c r="F65">
        <v>41408</v>
      </c>
      <c r="G65">
        <v>53269</v>
      </c>
      <c r="H65">
        <v>24204</v>
      </c>
      <c r="I65">
        <v>6302</v>
      </c>
      <c r="J65">
        <v>5470</v>
      </c>
      <c r="L65">
        <v>22978</v>
      </c>
      <c r="M65">
        <v>45535</v>
      </c>
    </row>
    <row r="66" spans="2:13" x14ac:dyDescent="0.25">
      <c r="B66">
        <v>61008</v>
      </c>
      <c r="C66">
        <v>24181</v>
      </c>
      <c r="D66">
        <v>17923</v>
      </c>
      <c r="E66">
        <v>64257</v>
      </c>
      <c r="F66">
        <v>41221</v>
      </c>
      <c r="G66">
        <v>53192</v>
      </c>
      <c r="H66">
        <v>23979</v>
      </c>
      <c r="I66">
        <v>6339</v>
      </c>
      <c r="J66">
        <v>5550</v>
      </c>
      <c r="L66">
        <v>23482</v>
      </c>
      <c r="M66">
        <v>45631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AVERAGE(Table87[Newtonsoft])</f>
        <v>79666.333333333328</v>
      </c>
      <c r="D38" s="2">
        <f>AVERAGE(Table87[Revenj])</f>
        <v>81494.666666666672</v>
      </c>
      <c r="E38" s="2">
        <f>AVERAGE(Table87[ProtoBuf (binary reference)])</f>
        <v>81741.666666666672</v>
      </c>
      <c r="F38" s="2">
        <f>AVERAGE(Table87[Service Stack])</f>
        <v>80471.666666666672</v>
      </c>
      <c r="G38" s="2">
        <f>AVERAGE(Table87[Jil])</f>
        <v>80146.333333333328</v>
      </c>
      <c r="H38" s="2">
        <f>AVERAGE(Table87[NetJSON])</f>
        <v>79588</v>
      </c>
      <c r="I38" s="2">
        <f>AVERAGE(Table87[Jackson])</f>
        <v>11091</v>
      </c>
      <c r="J38" s="2">
        <f>AVERAGE(Table87[DSL-JSON])</f>
        <v>11074</v>
      </c>
      <c r="K38" s="2">
        <f>AVERAGE(Table87[Kryo (binary reference)])</f>
        <v>11183.333333333334</v>
      </c>
      <c r="L38" s="2" t="e">
        <f>AVERAGE(Table87[Boon])</f>
        <v>#DIV/0!</v>
      </c>
      <c r="M38" s="2">
        <f>AVERAGE(Table87[Alibaba])</f>
        <v>11391.333333333334</v>
      </c>
      <c r="N38" s="2">
        <f>AVERAGE(Table87[Gson])</f>
        <v>11427.666666666666</v>
      </c>
      <c r="O38" s="2"/>
      <c r="P38" s="2"/>
      <c r="Q38" s="2"/>
    </row>
    <row r="39" spans="2:17" x14ac:dyDescent="0.25">
      <c r="B39" t="s">
        <v>0</v>
      </c>
      <c r="C39" s="2">
        <f>AVERAGE(Table86[Newtonsoft]) - C38</f>
        <v>238534.66666666669</v>
      </c>
      <c r="D39" s="2">
        <f>AVERAGE(Table86[Revenj]) - D38</f>
        <v>52655.999999999985</v>
      </c>
      <c r="E39" s="2">
        <f>AVERAGE(Table86[ProtoBuf (binary reference)]) - E38</f>
        <v>35313</v>
      </c>
      <c r="F39" s="2">
        <f>AVERAGE(Table86[Service Stack]) - F38</f>
        <v>191541.66666666663</v>
      </c>
      <c r="G39" s="2">
        <f>AVERAGE(Table86[Jil]) - G38</f>
        <v>177506.66666666669</v>
      </c>
      <c r="H39" s="2">
        <f>AVERAGE(Table86[NetJSON]) - H38</f>
        <v>105545</v>
      </c>
      <c r="I39" s="2">
        <f>AVERAGE(Table86[Jackson]) - I38</f>
        <v>68365</v>
      </c>
      <c r="J39" s="2">
        <f>AVERAGE(Table86[DSL-JSON]) - J38</f>
        <v>21977.666666666664</v>
      </c>
      <c r="K39" s="2">
        <f>AVERAGE(Table86[Kryo (binary reference)]) - K38</f>
        <v>18312</v>
      </c>
      <c r="L39" s="2" t="e">
        <f>AVERAGE(Table86[Boon]) - L38</f>
        <v>#DIV/0!</v>
      </c>
      <c r="M39" s="2">
        <f>AVERAGE(Table86[Alibaba]) - M38</f>
        <v>74359.333333333343</v>
      </c>
      <c r="N39" s="2">
        <f>AVERAGE(Table86[Gson]) - N38</f>
        <v>242300.66666666669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291349</v>
      </c>
      <c r="D40" s="2">
        <f t="shared" si="0"/>
        <v>107601.6666666667</v>
      </c>
      <c r="E40" s="2">
        <f t="shared" ref="E40" si="1">E41 - E39 - E38</f>
        <v>60825.333333333328</v>
      </c>
      <c r="F40" s="2">
        <f t="shared" si="0"/>
        <v>370941.33333333331</v>
      </c>
      <c r="G40" s="2">
        <f t="shared" si="0"/>
        <v>156733</v>
      </c>
      <c r="H40" s="2">
        <f t="shared" si="0"/>
        <v>346493.66666666663</v>
      </c>
      <c r="I40" s="2">
        <f t="shared" ref="I40" si="2">I41 - I39 - I38</f>
        <v>157059.66666666666</v>
      </c>
      <c r="J40" s="2">
        <f t="shared" ref="J40" si="3">J41 - J39 - J38</f>
        <v>27335.666666666672</v>
      </c>
      <c r="K40" s="2">
        <f t="shared" ref="K40:L40" si="4">K41 - K39 - K38</f>
        <v>23429.666666666664</v>
      </c>
      <c r="L40" s="2" t="e">
        <f t="shared" si="4"/>
        <v>#DIV/0!</v>
      </c>
      <c r="M40" s="2">
        <f t="shared" ref="M40" si="5">M41 - M39 - M38</f>
        <v>143112.99999999997</v>
      </c>
      <c r="N40" s="2">
        <f t="shared" ref="N40" si="6">N41 - N39 - N38</f>
        <v>196712.66666666666</v>
      </c>
      <c r="O40" s="2"/>
      <c r="P40" s="2"/>
      <c r="Q40" s="2"/>
    </row>
    <row r="41" spans="2:17" x14ac:dyDescent="0.25">
      <c r="B41" t="s">
        <v>23</v>
      </c>
      <c r="C41" s="2">
        <f>AVERAGE(Table88[Newtonsoft])</f>
        <v>609550</v>
      </c>
      <c r="D41" s="2">
        <f>AVERAGE(Table88[Revenj])</f>
        <v>241752.33333333334</v>
      </c>
      <c r="E41" s="2">
        <f>AVERAGE(Table88[ProtoBuf (binary reference)])</f>
        <v>177880</v>
      </c>
      <c r="F41" s="2">
        <f>AVERAGE(Table88[Service Stack])</f>
        <v>642954.66666666663</v>
      </c>
      <c r="G41" s="2">
        <f>AVERAGE(Table88[Jil])</f>
        <v>414386</v>
      </c>
      <c r="H41" s="2">
        <f>AVERAGE(Table88[NetJSON])</f>
        <v>531626.66666666663</v>
      </c>
      <c r="I41" s="2">
        <f>AVERAGE(Table88[Jackson])</f>
        <v>236515.66666666666</v>
      </c>
      <c r="J41" s="2">
        <f>AVERAGE(Table88[DSL-JSON])</f>
        <v>60387.333333333336</v>
      </c>
      <c r="K41" s="2">
        <f>AVERAGE(Table88[Kryo (binary reference)])</f>
        <v>52925</v>
      </c>
      <c r="L41" s="2" t="e">
        <f>AVERAGE(Table88[Boon])</f>
        <v>#DIV/0!</v>
      </c>
      <c r="M41" s="2">
        <f>AVERAGE(Table88[Alibaba])</f>
        <v>228863.66666666666</v>
      </c>
      <c r="N41" s="2">
        <f>AVERAGE(Table88[Gson])</f>
        <v>450441</v>
      </c>
      <c r="O41" s="2"/>
      <c r="P41" s="2"/>
      <c r="Q41" s="2"/>
    </row>
    <row r="42" spans="2:17" x14ac:dyDescent="0.25">
      <c r="B42" t="s">
        <v>4</v>
      </c>
      <c r="C42" s="3">
        <f>AVERAGE(Table86[Newtonsoft (size)])</f>
        <v>8624258785.333334</v>
      </c>
      <c r="D42" s="3">
        <f>AVERAGE(Table86[Revenj (size)])</f>
        <v>7557405367</v>
      </c>
      <c r="E42" s="3">
        <f>AVERAGE(Table86[ProtoBuf (size)])</f>
        <v>3713376198</v>
      </c>
      <c r="F42" s="3">
        <f>AVERAGE(Table86[Service Stack (size)])</f>
        <v>8204343029.333333</v>
      </c>
      <c r="G42" s="2">
        <f>AVERAGE(Table86[Jil (size)])</f>
        <v>8637702117</v>
      </c>
      <c r="H42" s="2">
        <f>AVERAGE(Table86[NetJSON (size)])</f>
        <v>8095734041.666667</v>
      </c>
      <c r="I42" s="2">
        <f>AVERAGE(Table86[Jackson (size)])</f>
        <v>7519662117</v>
      </c>
      <c r="J42" s="2">
        <f>AVERAGE(Table86[DSL-JSON (size)])</f>
        <v>7557405367</v>
      </c>
      <c r="K42" s="2">
        <f>AVERAGE(Table86[Kryo (size)])</f>
        <v>3323159245</v>
      </c>
      <c r="L42" s="2" t="e">
        <f>AVERAGE(Table86[Boon (size)])</f>
        <v>#DIV/0!</v>
      </c>
      <c r="M42" s="2">
        <f>AVERAGE(Table86[Alibaba (size)])</f>
        <v>7519662117</v>
      </c>
      <c r="N42" s="2">
        <f>AVERAGE(Table86[Gson (size)])</f>
        <v>7519662117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DEVSQ(Table86[Newtonsoft])</f>
        <v>735066</v>
      </c>
      <c r="D47" s="2">
        <f>DEVSQ(Table86[Revenj])</f>
        <v>265760.66666666669</v>
      </c>
      <c r="E47" s="2">
        <f>DEVSQ(Table86[ProtoBuf (binary reference)])</f>
        <v>716920.66666666674</v>
      </c>
      <c r="F47" s="2">
        <f>DEVSQ(Table86[Service Stack])</f>
        <v>7434264.666666667</v>
      </c>
      <c r="G47" s="2">
        <f>DEVSQ(Table86[Jil])</f>
        <v>101582</v>
      </c>
      <c r="H47" s="2">
        <f>DEVSQ(Table86[NetJSON])</f>
        <v>1344726</v>
      </c>
      <c r="I47" s="2">
        <f>DEVSQ(Table86[Jackson])</f>
        <v>733418</v>
      </c>
      <c r="J47" s="2">
        <f>DEVSQ(Table86[DSL-JSON])</f>
        <v>120716.66666666666</v>
      </c>
      <c r="K47" s="2">
        <f>DEVSQ(Table86[Kryo (binary reference)])</f>
        <v>2166688.666666667</v>
      </c>
      <c r="L47" s="2" t="e">
        <f>DEVSQ(Table86[Boon])</f>
        <v>#NUM!</v>
      </c>
      <c r="M47" s="2">
        <f>DEVSQ(Table86[Alibaba])</f>
        <v>3121612.666666667</v>
      </c>
      <c r="N47" s="2">
        <f>DEVSQ(Table86[Gson])</f>
        <v>171290932.66666666</v>
      </c>
      <c r="O47" s="2"/>
      <c r="P47" s="2"/>
      <c r="Q47" s="2"/>
    </row>
    <row r="48" spans="2:17" x14ac:dyDescent="0.25">
      <c r="B48" t="s">
        <v>23</v>
      </c>
      <c r="C48" s="2">
        <f>DEVSQ(Table88[Newtonsoft])</f>
        <v>8776392</v>
      </c>
      <c r="D48" s="2">
        <f>DEVSQ(Table88[Revenj])</f>
        <v>802344.66666666663</v>
      </c>
      <c r="E48" s="2">
        <f>DEVSQ(Table88[ProtoBuf (binary reference)])</f>
        <v>306528</v>
      </c>
      <c r="F48" s="2">
        <f>DEVSQ(Table88[Service Stack])</f>
        <v>9810658.666666666</v>
      </c>
      <c r="G48" s="2">
        <f>DEVSQ(Table88[Jil])</f>
        <v>24542</v>
      </c>
      <c r="H48" s="2">
        <f>DEVSQ(Table88[NetJSON])</f>
        <v>1890880.666666667</v>
      </c>
      <c r="I48" s="2">
        <f>DEVSQ(Table88[Jackson])</f>
        <v>7982962.666666666</v>
      </c>
      <c r="J48" s="2">
        <f>DEVSQ(Table88[DSL-JSON])</f>
        <v>2000842.6666666665</v>
      </c>
      <c r="K48" s="2">
        <f>DEVSQ(Table88[Kryo (binary reference)])</f>
        <v>2981738</v>
      </c>
      <c r="L48" s="2" t="e">
        <f>DEVSQ(Table88[Boon])</f>
        <v>#NUM!</v>
      </c>
      <c r="M48" s="2">
        <f>DEVSQ(Table88[Alibaba])</f>
        <v>83335028.666666657</v>
      </c>
      <c r="N48" s="2">
        <f>DEVSQ(Table88[Gson])</f>
        <v>208710294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79453</v>
      </c>
      <c r="C52">
        <v>81505</v>
      </c>
      <c r="D52">
        <v>81836</v>
      </c>
      <c r="E52">
        <v>79947</v>
      </c>
      <c r="F52">
        <v>81346</v>
      </c>
      <c r="G52">
        <v>79428</v>
      </c>
      <c r="H52">
        <v>11081</v>
      </c>
      <c r="I52">
        <v>11092</v>
      </c>
      <c r="J52">
        <v>11003</v>
      </c>
      <c r="L52">
        <v>11569</v>
      </c>
      <c r="M52">
        <v>11607</v>
      </c>
    </row>
    <row r="53" spans="2:25" x14ac:dyDescent="0.25">
      <c r="B53">
        <v>79889</v>
      </c>
      <c r="C53">
        <v>81493</v>
      </c>
      <c r="D53">
        <v>81811</v>
      </c>
      <c r="E53">
        <v>81797</v>
      </c>
      <c r="F53">
        <v>79460</v>
      </c>
      <c r="G53">
        <v>79408</v>
      </c>
      <c r="H53">
        <v>11027</v>
      </c>
      <c r="I53">
        <v>10871</v>
      </c>
      <c r="J53">
        <v>11473</v>
      </c>
      <c r="L53">
        <v>11269</v>
      </c>
      <c r="M53">
        <v>11495</v>
      </c>
    </row>
    <row r="54" spans="2:25" x14ac:dyDescent="0.25">
      <c r="B54">
        <v>79657</v>
      </c>
      <c r="C54">
        <v>81486</v>
      </c>
      <c r="D54">
        <v>81578</v>
      </c>
      <c r="E54">
        <v>79671</v>
      </c>
      <c r="F54">
        <v>79633</v>
      </c>
      <c r="G54">
        <v>79928</v>
      </c>
      <c r="H54">
        <v>11165</v>
      </c>
      <c r="I54">
        <v>11259</v>
      </c>
      <c r="J54">
        <v>11074</v>
      </c>
      <c r="L54">
        <v>11336</v>
      </c>
      <c r="M54">
        <v>11181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317688</v>
      </c>
      <c r="C58">
        <v>134491</v>
      </c>
      <c r="D58">
        <v>116381</v>
      </c>
      <c r="E58">
        <v>270373</v>
      </c>
      <c r="F58">
        <v>257838</v>
      </c>
      <c r="G58">
        <v>185319</v>
      </c>
      <c r="H58">
        <v>80153</v>
      </c>
      <c r="I58">
        <v>32960</v>
      </c>
      <c r="J58">
        <v>28876</v>
      </c>
      <c r="L58">
        <v>85167</v>
      </c>
      <c r="M58">
        <v>264408</v>
      </c>
      <c r="N58">
        <v>8630035452</v>
      </c>
      <c r="O58">
        <v>7557405367</v>
      </c>
      <c r="P58">
        <v>3713376198</v>
      </c>
      <c r="Q58">
        <v>8204342996</v>
      </c>
      <c r="R58">
        <v>8637702117</v>
      </c>
      <c r="S58">
        <v>8095753375</v>
      </c>
      <c r="T58">
        <v>7519662117</v>
      </c>
      <c r="U58">
        <v>7557405367</v>
      </c>
      <c r="V58">
        <v>3323159245</v>
      </c>
      <c r="X58">
        <v>7519662117</v>
      </c>
      <c r="Y58">
        <v>7519662117</v>
      </c>
    </row>
    <row r="59" spans="2:25" x14ac:dyDescent="0.25">
      <c r="B59">
        <v>318045</v>
      </c>
      <c r="C59">
        <v>133766</v>
      </c>
      <c r="D59">
        <v>117257</v>
      </c>
      <c r="E59">
        <v>271530</v>
      </c>
      <c r="F59">
        <v>257719</v>
      </c>
      <c r="G59">
        <v>185844</v>
      </c>
      <c r="H59">
        <v>79156</v>
      </c>
      <c r="I59">
        <v>33330</v>
      </c>
      <c r="J59">
        <v>28913</v>
      </c>
      <c r="L59">
        <v>84900</v>
      </c>
      <c r="M59">
        <v>248711</v>
      </c>
      <c r="N59">
        <v>8630035452</v>
      </c>
      <c r="O59">
        <v>7557405367</v>
      </c>
      <c r="P59">
        <v>3713376198</v>
      </c>
      <c r="Q59">
        <v>8204343046</v>
      </c>
      <c r="R59">
        <v>8637702117</v>
      </c>
      <c r="S59">
        <v>8095695375</v>
      </c>
      <c r="T59">
        <v>7519662117</v>
      </c>
      <c r="U59">
        <v>7557405367</v>
      </c>
      <c r="V59">
        <v>3323159245</v>
      </c>
      <c r="X59">
        <v>7519662117</v>
      </c>
      <c r="Y59">
        <v>7519662117</v>
      </c>
    </row>
    <row r="60" spans="2:25" x14ac:dyDescent="0.25">
      <c r="B60">
        <v>318870</v>
      </c>
      <c r="C60">
        <v>134195</v>
      </c>
      <c r="D60">
        <v>117526</v>
      </c>
      <c r="E60">
        <v>274137</v>
      </c>
      <c r="F60">
        <v>257402</v>
      </c>
      <c r="G60">
        <v>184236</v>
      </c>
      <c r="H60">
        <v>79059</v>
      </c>
      <c r="I60">
        <v>32865</v>
      </c>
      <c r="J60">
        <v>30697</v>
      </c>
      <c r="L60">
        <v>87185</v>
      </c>
      <c r="M60">
        <v>248066</v>
      </c>
      <c r="N60">
        <v>8612705452</v>
      </c>
      <c r="O60">
        <v>7557405367</v>
      </c>
      <c r="P60">
        <v>3713376198</v>
      </c>
      <c r="Q60">
        <v>8204343046</v>
      </c>
      <c r="R60">
        <v>8637702117</v>
      </c>
      <c r="S60">
        <v>8095753375</v>
      </c>
      <c r="T60">
        <v>7519662117</v>
      </c>
      <c r="U60">
        <v>7557405367</v>
      </c>
      <c r="V60">
        <v>3323159245</v>
      </c>
      <c r="X60">
        <v>7519662117</v>
      </c>
      <c r="Y60">
        <v>7519662117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607134</v>
      </c>
      <c r="C64">
        <v>242112</v>
      </c>
      <c r="D64">
        <v>178308</v>
      </c>
      <c r="E64">
        <v>640484</v>
      </c>
      <c r="F64">
        <v>414395</v>
      </c>
      <c r="G64">
        <v>532093</v>
      </c>
      <c r="H64">
        <v>234323</v>
      </c>
      <c r="I64">
        <v>59618</v>
      </c>
      <c r="J64">
        <v>52040</v>
      </c>
      <c r="L64">
        <v>226958</v>
      </c>
      <c r="M64">
        <v>443363</v>
      </c>
    </row>
    <row r="65" spans="2:13" x14ac:dyDescent="0.25">
      <c r="B65">
        <v>610656</v>
      </c>
      <c r="C65">
        <v>241021</v>
      </c>
      <c r="D65">
        <v>177540</v>
      </c>
      <c r="E65">
        <v>643618</v>
      </c>
      <c r="F65">
        <v>414492</v>
      </c>
      <c r="G65">
        <v>530509</v>
      </c>
      <c r="H65">
        <v>236991</v>
      </c>
      <c r="I65">
        <v>60026</v>
      </c>
      <c r="J65">
        <v>52417</v>
      </c>
      <c r="L65">
        <v>223576</v>
      </c>
      <c r="M65">
        <v>462152</v>
      </c>
    </row>
    <row r="66" spans="2:13" x14ac:dyDescent="0.25">
      <c r="B66">
        <v>610860</v>
      </c>
      <c r="C66">
        <v>242124</v>
      </c>
      <c r="D66">
        <v>177792</v>
      </c>
      <c r="E66">
        <v>644762</v>
      </c>
      <c r="F66">
        <v>414271</v>
      </c>
      <c r="G66">
        <v>532278</v>
      </c>
      <c r="H66">
        <v>238233</v>
      </c>
      <c r="I66">
        <v>61518</v>
      </c>
      <c r="J66">
        <v>54318</v>
      </c>
      <c r="L66">
        <v>236057</v>
      </c>
      <c r="M66">
        <v>445808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AVERAGE(Table92[Newtonsoft])</f>
        <v>947.33333333333337</v>
      </c>
      <c r="D38" s="2">
        <f>AVERAGE(Table92[Revenj])</f>
        <v>944.33333333333337</v>
      </c>
      <c r="E38" s="2">
        <f>AVERAGE(Table92[ProtoBuf (binary reference)])</f>
        <v>935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310</v>
      </c>
      <c r="J38" s="2">
        <f>AVERAGE(Table92[DSL-JSON])</f>
        <v>324.66666666666669</v>
      </c>
      <c r="K38" s="2">
        <f>AVERAGE(Table92[Kryo (binary reference)])</f>
        <v>330.66666666666669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AVERAGE(Table91[Newtonsoft]) - C38</f>
        <v>1653.333333333333</v>
      </c>
      <c r="D39" s="2">
        <f>AVERAGE(Table91[Revenj]) - D38</f>
        <v>345.66666666666663</v>
      </c>
      <c r="E39" s="2">
        <f>AVERAGE(Table91[ProtoBuf (binary reference)]) - E38</f>
        <v>459.33333333333326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741.66666666666674</v>
      </c>
      <c r="J39" s="2">
        <f>AVERAGE(Table91[DSL-JSON]) - J38</f>
        <v>236.66666666666669</v>
      </c>
      <c r="K39" s="2">
        <f>AVERAGE(Table91[Kryo (binary reference)]) - K38</f>
        <v>229.99999999999994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2367.6666666666665</v>
      </c>
      <c r="D40" s="2">
        <f t="shared" si="0"/>
        <v>1034.6666666666665</v>
      </c>
      <c r="E40" s="2">
        <f t="shared" ref="E40" si="1">E41 - E39 - E38</f>
        <v>823.00000000000023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1666.3333333333333</v>
      </c>
      <c r="J40" s="2">
        <f t="shared" ref="J40" si="3">J41 - J39 - J38</f>
        <v>212.33333333333331</v>
      </c>
      <c r="K40" s="2">
        <f t="shared" ref="K40:L40" si="4">K41 - K39 - K38</f>
        <v>177.33333333333337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AVERAGE(Table93[Newtonsoft])</f>
        <v>4968.333333333333</v>
      </c>
      <c r="D41" s="2">
        <f>AVERAGE(Table93[Revenj])</f>
        <v>2324.6666666666665</v>
      </c>
      <c r="E41" s="2">
        <f>AVERAGE(Table93[ProtoBuf (binary reference)])</f>
        <v>2217.3333333333335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2718</v>
      </c>
      <c r="J41" s="2">
        <f>AVERAGE(Table93[DSL-JSON])</f>
        <v>773.66666666666663</v>
      </c>
      <c r="K41" s="2">
        <f>AVERAGE(Table93[Kryo (binary reference)])</f>
        <v>738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AVERAGE(Table91[Newtonsoft (size)])</f>
        <v>62705819</v>
      </c>
      <c r="D42" s="3">
        <f>AVERAGE(Table91[Revenj (size)])</f>
        <v>49485608</v>
      </c>
      <c r="E42" s="3">
        <f>AVERAGE(Table91[ProtoBuf (size)])</f>
        <v>22929726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48174191</v>
      </c>
      <c r="J42" s="2">
        <f>AVERAGE(Table91[DSL-JSON (size)])</f>
        <v>49485608</v>
      </c>
      <c r="K42" s="2">
        <f>AVERAGE(Table91[Kryo (size)])</f>
        <v>20305710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54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DEVSQ(Table91[Newtonsoft])</f>
        <v>28.666666666666668</v>
      </c>
      <c r="D47" s="2">
        <f>DEVSQ(Table91[Revenj])</f>
        <v>294</v>
      </c>
      <c r="E47" s="2">
        <f>DEVSQ(Table91[ProtoBuf (binary reference)])</f>
        <v>32.666666666666671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1728.6666666666667</v>
      </c>
      <c r="J47" s="2">
        <f>DEVSQ(Table91[DSL-JSON])</f>
        <v>480.66666666666669</v>
      </c>
      <c r="K47" s="2">
        <f>DEVSQ(Table91[Kryo (binary reference)])</f>
        <v>204.66666666666669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DEVSQ(Table93[Newtonsoft])</f>
        <v>3370.6666666666665</v>
      </c>
      <c r="D48" s="2">
        <f>DEVSQ(Table93[Revenj])</f>
        <v>528.66666666666663</v>
      </c>
      <c r="E48" s="2">
        <f>DEVSQ(Table93[ProtoBuf (binary reference)])</f>
        <v>354.66666666666663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1058</v>
      </c>
      <c r="J48" s="2">
        <f>DEVSQ(Table93[DSL-JSON])</f>
        <v>424.66666666666669</v>
      </c>
      <c r="K48" s="2">
        <f>DEVSQ(Table93[Kryo (binary reference)])</f>
        <v>342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952</v>
      </c>
      <c r="C52">
        <v>953</v>
      </c>
      <c r="D52">
        <v>926</v>
      </c>
      <c r="H52">
        <v>300</v>
      </c>
      <c r="I52">
        <v>320</v>
      </c>
      <c r="J52">
        <v>324</v>
      </c>
    </row>
    <row r="53" spans="2:25" x14ac:dyDescent="0.25">
      <c r="B53">
        <v>945</v>
      </c>
      <c r="C53">
        <v>942</v>
      </c>
      <c r="D53">
        <v>944</v>
      </c>
      <c r="H53">
        <v>325</v>
      </c>
      <c r="I53">
        <v>324</v>
      </c>
      <c r="J53">
        <v>339</v>
      </c>
    </row>
    <row r="54" spans="2:25" x14ac:dyDescent="0.25">
      <c r="B54">
        <v>945</v>
      </c>
      <c r="C54">
        <v>938</v>
      </c>
      <c r="D54">
        <v>935</v>
      </c>
      <c r="H54">
        <v>305</v>
      </c>
      <c r="I54">
        <v>330</v>
      </c>
      <c r="J54">
        <v>329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2599</v>
      </c>
      <c r="C58">
        <v>1304</v>
      </c>
      <c r="D58">
        <v>1395</v>
      </c>
      <c r="H58">
        <v>1019</v>
      </c>
      <c r="I58">
        <v>555</v>
      </c>
      <c r="J58">
        <v>566</v>
      </c>
      <c r="N58">
        <v>62705819</v>
      </c>
      <c r="O58">
        <v>49485608</v>
      </c>
      <c r="P58">
        <v>22929726</v>
      </c>
      <c r="T58">
        <v>48174191</v>
      </c>
      <c r="U58">
        <v>49485608</v>
      </c>
      <c r="V58">
        <v>20305710</v>
      </c>
    </row>
    <row r="59" spans="2:25" x14ac:dyDescent="0.25">
      <c r="B59">
        <v>2598</v>
      </c>
      <c r="C59">
        <v>1283</v>
      </c>
      <c r="D59">
        <v>1398</v>
      </c>
      <c r="H59">
        <v>1060</v>
      </c>
      <c r="I59">
        <v>579</v>
      </c>
      <c r="J59">
        <v>549</v>
      </c>
      <c r="N59">
        <v>62705819</v>
      </c>
      <c r="O59">
        <v>49485608</v>
      </c>
      <c r="P59">
        <v>22929726</v>
      </c>
      <c r="T59">
        <v>48174191</v>
      </c>
      <c r="U59">
        <v>49485608</v>
      </c>
      <c r="V59">
        <v>20305710</v>
      </c>
    </row>
    <row r="60" spans="2:25" x14ac:dyDescent="0.25">
      <c r="B60">
        <v>2605</v>
      </c>
      <c r="C60">
        <v>1283</v>
      </c>
      <c r="D60">
        <v>1390</v>
      </c>
      <c r="H60">
        <v>1076</v>
      </c>
      <c r="I60">
        <v>550</v>
      </c>
      <c r="J60">
        <v>567</v>
      </c>
      <c r="N60">
        <v>62705819</v>
      </c>
      <c r="O60">
        <v>49485608</v>
      </c>
      <c r="P60">
        <v>22929726</v>
      </c>
      <c r="T60">
        <v>48174191</v>
      </c>
      <c r="U60">
        <v>49485608</v>
      </c>
      <c r="V60">
        <v>20305710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5003</v>
      </c>
      <c r="C64">
        <v>2312</v>
      </c>
      <c r="D64">
        <v>2226</v>
      </c>
      <c r="H64">
        <v>2741</v>
      </c>
      <c r="I64">
        <v>789</v>
      </c>
      <c r="J64">
        <v>747</v>
      </c>
    </row>
    <row r="65" spans="2:10" x14ac:dyDescent="0.25">
      <c r="B65">
        <v>4923</v>
      </c>
      <c r="C65">
        <v>2319</v>
      </c>
      <c r="D65">
        <v>2202</v>
      </c>
      <c r="H65">
        <v>2718</v>
      </c>
      <c r="I65">
        <v>772</v>
      </c>
      <c r="J65">
        <v>744</v>
      </c>
    </row>
    <row r="66" spans="2:10" x14ac:dyDescent="0.25">
      <c r="B66">
        <v>4979</v>
      </c>
      <c r="C66">
        <v>2343</v>
      </c>
      <c r="D66">
        <v>2224</v>
      </c>
      <c r="H66">
        <v>2695</v>
      </c>
      <c r="I66">
        <v>760</v>
      </c>
      <c r="J66">
        <v>723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AVERAGE(Table97[Newtonsoft])</f>
        <v>91437.333333333328</v>
      </c>
      <c r="D38" s="2">
        <f>AVERAGE(Table97[Revenj])</f>
        <v>91305.666666666672</v>
      </c>
      <c r="E38" s="2">
        <f>AVERAGE(Table97[ProtoBuf (binary reference)])</f>
        <v>91546.333333333328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7377.333333333333</v>
      </c>
      <c r="J38" s="2">
        <f>AVERAGE(Table97[DSL-JSON])</f>
        <v>7310</v>
      </c>
      <c r="K38" s="2">
        <f>AVERAGE(Table97[Kryo (binary reference)])</f>
        <v>7283.333333333333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AVERAGE(Table96[Newtonsoft]) - C38</f>
        <v>135159</v>
      </c>
      <c r="D39" s="2">
        <f>AVERAGE(Table96[Revenj]) - D38</f>
        <v>46789.999999999985</v>
      </c>
      <c r="E39" s="2">
        <f>AVERAGE(Table96[ProtoBuf (binary reference)]) - E38</f>
        <v>37941.333333333343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48269</v>
      </c>
      <c r="J39" s="2">
        <f>AVERAGE(Table96[DSL-JSON]) - J38</f>
        <v>25971.333333333336</v>
      </c>
      <c r="K39" s="2">
        <f>AVERAGE(Table96[Kryo (binary reference)]) - K38</f>
        <v>21983.333333333336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247793.66666666669</v>
      </c>
      <c r="D40" s="2">
        <f t="shared" si="0"/>
        <v>146491</v>
      </c>
      <c r="E40" s="2">
        <f t="shared" ref="E40" si="1">E41 - E39 - E38</f>
        <v>115160.99999999999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108834.33333333333</v>
      </c>
      <c r="J40" s="2">
        <f t="shared" ref="J40" si="3">J41 - J39 - J38</f>
        <v>22921.333333333328</v>
      </c>
      <c r="K40" s="2">
        <f t="shared" ref="K40:L40" si="4">K41 - K39 - K38</f>
        <v>17352.999999999996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AVERAGE(Table98[Newtonsoft])</f>
        <v>474390</v>
      </c>
      <c r="D41" s="2">
        <f>AVERAGE(Table98[Revenj])</f>
        <v>284586.66666666669</v>
      </c>
      <c r="E41" s="2">
        <f>AVERAGE(Table98[ProtoBuf (binary reference)])</f>
        <v>244648.66666666666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164480.66666666666</v>
      </c>
      <c r="J41" s="2">
        <f>AVERAGE(Table98[DSL-JSON])</f>
        <v>56202.666666666664</v>
      </c>
      <c r="K41" s="2">
        <f>AVERAGE(Table98[Kryo (binary reference)])</f>
        <v>46619.666666666664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AVERAGE(Table96[Newtonsoft (size)])</f>
        <v>9822874416</v>
      </c>
      <c r="D42" s="3">
        <f>AVERAGE(Table96[Revenj (size)])</f>
        <v>9490545095</v>
      </c>
      <c r="E42" s="3">
        <f>AVERAGE(Table96[ProtoBuf (size)])</f>
        <v>7473413088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9388368563</v>
      </c>
      <c r="J42" s="2">
        <f>AVERAGE(Table96[DSL-JSON (size)])</f>
        <v>9490545095</v>
      </c>
      <c r="K42" s="2">
        <f>AVERAGE(Table96[Kryo (size)])</f>
        <v>7260003309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DEVSQ(Table96[Newtonsoft])</f>
        <v>46708.666666666664</v>
      </c>
      <c r="D47" s="2">
        <f>DEVSQ(Table96[Revenj])</f>
        <v>4525938.666666667</v>
      </c>
      <c r="E47" s="2">
        <f>DEVSQ(Table96[ProtoBuf (binary reference)])</f>
        <v>2047410.6666666665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3843242.666666667</v>
      </c>
      <c r="J47" s="2">
        <f>DEVSQ(Table96[DSL-JSON])</f>
        <v>921292.66666666674</v>
      </c>
      <c r="K47" s="2">
        <f>DEVSQ(Table96[Kryo (binary reference)])</f>
        <v>1672.6666666666665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DEVSQ(Table98[Newtonsoft])</f>
        <v>53774678</v>
      </c>
      <c r="D48" s="2">
        <f>DEVSQ(Table98[Revenj])</f>
        <v>50954208.666666664</v>
      </c>
      <c r="E48" s="2">
        <f>DEVSQ(Table98[ProtoBuf (binary reference)])</f>
        <v>1378444.6666666665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11603500.666666668</v>
      </c>
      <c r="J48" s="2">
        <f>DEVSQ(Table98[DSL-JSON])</f>
        <v>3235274.666666667</v>
      </c>
      <c r="K48" s="2">
        <f>DEVSQ(Table98[Kryo (binary reference)])</f>
        <v>720732.66666666674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91744</v>
      </c>
      <c r="C52">
        <v>91307</v>
      </c>
      <c r="D52">
        <v>92205</v>
      </c>
      <c r="H52">
        <v>7454</v>
      </c>
      <c r="I52">
        <v>7317</v>
      </c>
      <c r="J52">
        <v>7252</v>
      </c>
    </row>
    <row r="53" spans="2:25" x14ac:dyDescent="0.25">
      <c r="B53">
        <v>92119</v>
      </c>
      <c r="C53">
        <v>91111</v>
      </c>
      <c r="D53">
        <v>91028</v>
      </c>
      <c r="H53">
        <v>7222</v>
      </c>
      <c r="I53">
        <v>7314</v>
      </c>
      <c r="J53">
        <v>7344</v>
      </c>
    </row>
    <row r="54" spans="2:25" x14ac:dyDescent="0.25">
      <c r="B54">
        <v>90449</v>
      </c>
      <c r="C54">
        <v>91499</v>
      </c>
      <c r="D54">
        <v>91406</v>
      </c>
      <c r="H54">
        <v>7456</v>
      </c>
      <c r="I54">
        <v>7299</v>
      </c>
      <c r="J54">
        <v>7254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226772</v>
      </c>
      <c r="C58">
        <v>136359</v>
      </c>
      <c r="D58">
        <v>128335</v>
      </c>
      <c r="H58">
        <v>56985</v>
      </c>
      <c r="I58">
        <v>33076</v>
      </c>
      <c r="J58">
        <v>29298</v>
      </c>
      <c r="N58">
        <v>9822874416</v>
      </c>
      <c r="O58">
        <v>9490545095</v>
      </c>
      <c r="P58">
        <v>7473413088</v>
      </c>
      <c r="T58">
        <v>9388368563</v>
      </c>
      <c r="U58">
        <v>9490545095</v>
      </c>
      <c r="V58">
        <v>7260003309</v>
      </c>
    </row>
    <row r="59" spans="2:25" x14ac:dyDescent="0.25">
      <c r="B59">
        <v>226523</v>
      </c>
      <c r="C59">
        <v>138933</v>
      </c>
      <c r="D59">
        <v>129899</v>
      </c>
      <c r="H59">
        <v>55737</v>
      </c>
      <c r="I59">
        <v>34039</v>
      </c>
      <c r="J59">
        <v>29261</v>
      </c>
      <c r="N59">
        <v>9822874416</v>
      </c>
      <c r="O59">
        <v>9490545095</v>
      </c>
      <c r="P59">
        <v>7473413088</v>
      </c>
      <c r="T59">
        <v>9388368563</v>
      </c>
      <c r="U59">
        <v>9490545095</v>
      </c>
      <c r="V59">
        <v>7260003309</v>
      </c>
    </row>
    <row r="60" spans="2:25" x14ac:dyDescent="0.25">
      <c r="B60">
        <v>226494</v>
      </c>
      <c r="C60">
        <v>138995</v>
      </c>
      <c r="D60">
        <v>130229</v>
      </c>
      <c r="H60">
        <v>54217</v>
      </c>
      <c r="I60">
        <v>32729</v>
      </c>
      <c r="J60">
        <v>29241</v>
      </c>
      <c r="N60">
        <v>9822874416</v>
      </c>
      <c r="O60">
        <v>9490545095</v>
      </c>
      <c r="P60">
        <v>7473413088</v>
      </c>
      <c r="T60">
        <v>9388368563</v>
      </c>
      <c r="U60">
        <v>9490545095</v>
      </c>
      <c r="V60">
        <v>7260003309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471708</v>
      </c>
      <c r="C64">
        <v>289165</v>
      </c>
      <c r="D64">
        <v>245607</v>
      </c>
      <c r="H64">
        <v>167157</v>
      </c>
      <c r="I64">
        <v>57596</v>
      </c>
      <c r="J64">
        <v>46914</v>
      </c>
    </row>
    <row r="65" spans="2:10" x14ac:dyDescent="0.25">
      <c r="B65">
        <v>480367</v>
      </c>
      <c r="C65">
        <v>279174</v>
      </c>
      <c r="D65">
        <v>244149</v>
      </c>
      <c r="H65">
        <v>162487</v>
      </c>
      <c r="I65">
        <v>55908</v>
      </c>
      <c r="J65">
        <v>47016</v>
      </c>
    </row>
    <row r="66" spans="2:10" x14ac:dyDescent="0.25">
      <c r="B66">
        <v>471095</v>
      </c>
      <c r="C66">
        <v>285421</v>
      </c>
      <c r="D66">
        <v>244190</v>
      </c>
      <c r="H66">
        <v>163798</v>
      </c>
      <c r="I66">
        <v>55104</v>
      </c>
      <c r="J66">
        <v>45929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AVERAGE(Table17[Newtonsoft])</f>
        <v>370.66666666666669</v>
      </c>
      <c r="D38" s="2">
        <f>AVERAGE(Table17[Revenj])</f>
        <v>374</v>
      </c>
      <c r="E38" s="2">
        <f>AVERAGE(Table17[ProtoBuf (binary reference)])</f>
        <v>370.33333333333331</v>
      </c>
      <c r="F38" s="2">
        <f>AVERAGE(Table17[Service Stack])</f>
        <v>375.33333333333331</v>
      </c>
      <c r="G38" s="2">
        <f>AVERAGE(Table17[Jil])</f>
        <v>375.66666666666669</v>
      </c>
      <c r="H38" s="2">
        <f>AVERAGE(Table17[NetJSON])</f>
        <v>375.33333333333331</v>
      </c>
      <c r="I38" s="2">
        <f>AVERAGE(Table17[Jackson])</f>
        <v>40.666666666666664</v>
      </c>
      <c r="J38" s="2">
        <f>AVERAGE(Table17[DSL-JSON])</f>
        <v>40</v>
      </c>
      <c r="K38" s="2">
        <f>AVERAGE(Table17[Kryo (binary reference)])</f>
        <v>40</v>
      </c>
      <c r="L38" s="2">
        <f>AVERAGE(Table17[Boon])</f>
        <v>40.333333333333336</v>
      </c>
      <c r="M38" s="2">
        <f>AVERAGE(Table17[Alibaba])</f>
        <v>40</v>
      </c>
      <c r="N38" s="2">
        <f>AVERAGE(Table17[Gson])</f>
        <v>41.666666666666664</v>
      </c>
      <c r="O38" s="2"/>
      <c r="P38" s="2"/>
      <c r="Q38" s="2"/>
    </row>
    <row r="39" spans="2:17" x14ac:dyDescent="0.25">
      <c r="B39" t="s">
        <v>0</v>
      </c>
      <c r="C39" s="2">
        <f>AVERAGE(Table16[Newtonsoft]) - C38</f>
        <v>351.99999999999994</v>
      </c>
      <c r="D39" s="2">
        <f>AVERAGE(Table16[Revenj]) - D38</f>
        <v>59.666666666666686</v>
      </c>
      <c r="E39" s="2">
        <f>AVERAGE(Table16[ProtoBuf (binary reference)]) - E38</f>
        <v>151.66666666666669</v>
      </c>
      <c r="F39" s="2">
        <f>AVERAGE(Table16[Service Stack]) - F38</f>
        <v>232.00000000000006</v>
      </c>
      <c r="G39" s="2">
        <f>AVERAGE(Table16[Jil]) - G38</f>
        <v>508.66666666666669</v>
      </c>
      <c r="H39" s="2">
        <f>AVERAGE(Table16[NetJSON]) - H38</f>
        <v>170.33333333333331</v>
      </c>
      <c r="I39" s="2">
        <f>AVERAGE(Table16[Jackson]) - I38</f>
        <v>224.00000000000003</v>
      </c>
      <c r="J39" s="2">
        <f>AVERAGE(Table16[DSL-JSON]) - J38</f>
        <v>34</v>
      </c>
      <c r="K39" s="2">
        <f>AVERAGE(Table16[Kryo (binary reference)]) - K38</f>
        <v>54</v>
      </c>
      <c r="L39" s="2">
        <f>AVERAGE(Table16[Boon]) - L38</f>
        <v>549</v>
      </c>
      <c r="M39" s="2">
        <f>AVERAGE(Table16[Alibaba]) - M38</f>
        <v>541.66666666666663</v>
      </c>
      <c r="N39" s="2">
        <f>AVERAGE(Table16[Gson]) - N38</f>
        <v>563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474.66666666666657</v>
      </c>
      <c r="D40" s="2">
        <f t="shared" si="0"/>
        <v>126.33333333333331</v>
      </c>
      <c r="E40" s="2">
        <f t="shared" ref="E40" si="1">E41 - E39 - E38</f>
        <v>108</v>
      </c>
      <c r="F40" s="2">
        <f t="shared" si="0"/>
        <v>266.99999999999994</v>
      </c>
      <c r="G40" s="2">
        <f t="shared" si="0"/>
        <v>300.66666666666657</v>
      </c>
      <c r="H40" s="2">
        <f t="shared" si="0"/>
        <v>279.33333333333343</v>
      </c>
      <c r="I40" s="2">
        <f t="shared" ref="I40" si="2">I41 - I39 - I38</f>
        <v>257.33333333333331</v>
      </c>
      <c r="J40" s="2">
        <f t="shared" ref="J40" si="3">J41 - J39 - J38</f>
        <v>82</v>
      </c>
      <c r="K40" s="2">
        <f t="shared" ref="K40:L40" si="4">K41 - K39 - K38</f>
        <v>65.333333333333343</v>
      </c>
      <c r="L40" s="2">
        <f t="shared" si="4"/>
        <v>775.66666666666663</v>
      </c>
      <c r="M40" s="2">
        <f t="shared" ref="M40" si="5">M41 - M39 - M38</f>
        <v>148</v>
      </c>
      <c r="N40" s="2">
        <f t="shared" ref="N40" si="6">N41 - N39 - N38</f>
        <v>243.66666666666671</v>
      </c>
      <c r="O40" s="2"/>
      <c r="P40" s="2"/>
      <c r="Q40" s="2"/>
    </row>
    <row r="41" spans="2:17" x14ac:dyDescent="0.25">
      <c r="B41" t="s">
        <v>23</v>
      </c>
      <c r="C41" s="2">
        <f>AVERAGE(Table18[Newtonsoft])</f>
        <v>1197.3333333333333</v>
      </c>
      <c r="D41" s="2">
        <f>AVERAGE(Table18[Revenj])</f>
        <v>560</v>
      </c>
      <c r="E41" s="2">
        <f>AVERAGE(Table18[ProtoBuf (binary reference)])</f>
        <v>630</v>
      </c>
      <c r="F41" s="2">
        <f>AVERAGE(Table18[Service Stack])</f>
        <v>874.33333333333337</v>
      </c>
      <c r="G41" s="2">
        <f>AVERAGE(Table18[Jil])</f>
        <v>1185</v>
      </c>
      <c r="H41" s="2">
        <f>AVERAGE(Table18[NetJSON])</f>
        <v>825</v>
      </c>
      <c r="I41" s="2">
        <f>AVERAGE(Table18[Jackson])</f>
        <v>522</v>
      </c>
      <c r="J41" s="2">
        <f>AVERAGE(Table18[DSL-JSON])</f>
        <v>156</v>
      </c>
      <c r="K41" s="2">
        <f>AVERAGE(Table18[Kryo (binary reference)])</f>
        <v>159.33333333333334</v>
      </c>
      <c r="L41" s="2">
        <f>AVERAGE(Table18[Boon])</f>
        <v>1365</v>
      </c>
      <c r="M41" s="2">
        <f>AVERAGE(Table18[Alibaba])</f>
        <v>729.66666666666663</v>
      </c>
      <c r="N41" s="2">
        <f>AVERAGE(Table18[Gson])</f>
        <v>848.33333333333337</v>
      </c>
      <c r="O41" s="2"/>
      <c r="P41" s="2"/>
      <c r="Q41" s="2"/>
    </row>
    <row r="42" spans="2:17" x14ac:dyDescent="0.25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AVERAGE(Table16[ProtoBuf (size)])</f>
        <v>2372376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4777780</v>
      </c>
      <c r="J42" s="2">
        <f>AVERAGE(Table16[DSL-JSON (size)])</f>
        <v>4777768</v>
      </c>
      <c r="K42" s="2">
        <f>AVERAGE(Table16[Kryo (size)])</f>
        <v>2080634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DEVSQ(Table16[Newtonsoft])</f>
        <v>2.666666666666667</v>
      </c>
      <c r="D47" s="2">
        <f>DEVSQ(Table16[Revenj])</f>
        <v>0.66666666666666674</v>
      </c>
      <c r="E47" s="2">
        <f>DEVSQ(Table16[ProtoBuf (binary reference)])</f>
        <v>0</v>
      </c>
      <c r="F47" s="2">
        <f>DEVSQ(Table16[Service Stack])</f>
        <v>4.666666666666667</v>
      </c>
      <c r="G47" s="2">
        <f>DEVSQ(Table16[Jil])</f>
        <v>12.666666666666668</v>
      </c>
      <c r="H47" s="2">
        <f>DEVSQ(Table16[NetJSON])</f>
        <v>0.66666666666666663</v>
      </c>
      <c r="I47" s="2">
        <f>DEVSQ(Table16[Jackson])</f>
        <v>4.6666666666666661</v>
      </c>
      <c r="J47" s="2">
        <f>DEVSQ(Table16[DSL-JSON])</f>
        <v>2</v>
      </c>
      <c r="K47" s="2">
        <f>DEVSQ(Table16[Kryo (binary reference)])</f>
        <v>6</v>
      </c>
      <c r="L47" s="2">
        <f>DEVSQ(Table16[Boon])</f>
        <v>16.666666666666664</v>
      </c>
      <c r="M47" s="2">
        <f>DEVSQ(Table16[Alibaba])</f>
        <v>224.66666666666669</v>
      </c>
      <c r="N47" s="2">
        <f>DEVSQ(Table16[Gson])</f>
        <v>1320.6666666666665</v>
      </c>
      <c r="O47" s="2"/>
      <c r="P47" s="2"/>
      <c r="Q47" s="2"/>
    </row>
    <row r="48" spans="2:17" x14ac:dyDescent="0.25">
      <c r="B48" t="s">
        <v>23</v>
      </c>
      <c r="C48" s="2">
        <f>DEVSQ(Table18[Newtonsoft])</f>
        <v>4.6666666666666661</v>
      </c>
      <c r="D48" s="2">
        <f>DEVSQ(Table18[Revenj])</f>
        <v>2</v>
      </c>
      <c r="E48" s="2">
        <f>DEVSQ(Table18[ProtoBuf (binary reference)])</f>
        <v>6</v>
      </c>
      <c r="F48" s="2">
        <f>DEVSQ(Table18[Service Stack])</f>
        <v>4.666666666666667</v>
      </c>
      <c r="G48" s="2">
        <f>DEVSQ(Table18[Jil])</f>
        <v>24</v>
      </c>
      <c r="H48" s="2">
        <f>DEVSQ(Table18[NetJSON])</f>
        <v>2</v>
      </c>
      <c r="I48" s="2">
        <f>DEVSQ(Table18[Jackson])</f>
        <v>122</v>
      </c>
      <c r="J48" s="2">
        <f>DEVSQ(Table18[DSL-JSON])</f>
        <v>114</v>
      </c>
      <c r="K48" s="2">
        <f>DEVSQ(Table18[Kryo (binary reference)])</f>
        <v>2.6666666666666665</v>
      </c>
      <c r="L48" s="2">
        <f>DEVSQ(Table18[Boon])</f>
        <v>774</v>
      </c>
      <c r="M48" s="2">
        <f>DEVSQ(Table18[Alibaba])</f>
        <v>754.66666666666674</v>
      </c>
      <c r="N48" s="2">
        <f>DEVSQ(Table18[Gson])</f>
        <v>568.66666666666663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371</v>
      </c>
      <c r="C52">
        <v>374</v>
      </c>
      <c r="D52">
        <v>371</v>
      </c>
      <c r="E52">
        <v>375</v>
      </c>
      <c r="F52">
        <v>376</v>
      </c>
      <c r="G52">
        <v>374</v>
      </c>
      <c r="H52">
        <v>41</v>
      </c>
      <c r="I52">
        <v>40</v>
      </c>
      <c r="J52">
        <v>40</v>
      </c>
      <c r="K52">
        <v>40</v>
      </c>
      <c r="L52">
        <v>40</v>
      </c>
      <c r="M52">
        <v>41</v>
      </c>
    </row>
    <row r="53" spans="2:25" x14ac:dyDescent="0.25">
      <c r="B53">
        <v>371</v>
      </c>
      <c r="C53">
        <v>373</v>
      </c>
      <c r="D53">
        <v>371</v>
      </c>
      <c r="E53">
        <v>375</v>
      </c>
      <c r="F53">
        <v>375</v>
      </c>
      <c r="G53">
        <v>376</v>
      </c>
      <c r="H53">
        <v>40</v>
      </c>
      <c r="I53">
        <v>40</v>
      </c>
      <c r="J53">
        <v>40</v>
      </c>
      <c r="K53">
        <v>41</v>
      </c>
      <c r="L53">
        <v>40</v>
      </c>
      <c r="M53">
        <v>44</v>
      </c>
    </row>
    <row r="54" spans="2:25" x14ac:dyDescent="0.25">
      <c r="B54">
        <v>370</v>
      </c>
      <c r="C54">
        <v>375</v>
      </c>
      <c r="D54">
        <v>369</v>
      </c>
      <c r="E54">
        <v>376</v>
      </c>
      <c r="F54">
        <v>376</v>
      </c>
      <c r="G54">
        <v>376</v>
      </c>
      <c r="H54">
        <v>41</v>
      </c>
      <c r="I54">
        <v>40</v>
      </c>
      <c r="J54">
        <v>40</v>
      </c>
      <c r="K54">
        <v>40</v>
      </c>
      <c r="L54">
        <v>40</v>
      </c>
      <c r="M54">
        <v>40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722</v>
      </c>
      <c r="C58">
        <v>434</v>
      </c>
      <c r="D58">
        <v>522</v>
      </c>
      <c r="E58">
        <v>606</v>
      </c>
      <c r="F58">
        <v>887</v>
      </c>
      <c r="G58">
        <v>545</v>
      </c>
      <c r="H58">
        <v>265</v>
      </c>
      <c r="I58">
        <v>75</v>
      </c>
      <c r="J58">
        <v>95</v>
      </c>
      <c r="K58">
        <v>591</v>
      </c>
      <c r="L58">
        <v>593</v>
      </c>
      <c r="M58">
        <v>575</v>
      </c>
      <c r="N58">
        <v>4777780</v>
      </c>
      <c r="O58">
        <v>4777768</v>
      </c>
      <c r="P58">
        <v>2372376</v>
      </c>
      <c r="Q58">
        <v>4777780</v>
      </c>
      <c r="R58">
        <v>4777780</v>
      </c>
      <c r="S58">
        <v>4777768</v>
      </c>
      <c r="T58">
        <v>4777780</v>
      </c>
      <c r="U58">
        <v>4777768</v>
      </c>
      <c r="V58">
        <v>2080634</v>
      </c>
      <c r="W58">
        <v>4777768</v>
      </c>
      <c r="X58">
        <v>4777780</v>
      </c>
      <c r="Y58">
        <v>4777780</v>
      </c>
    </row>
    <row r="59" spans="2:25" x14ac:dyDescent="0.25">
      <c r="B59">
        <v>724</v>
      </c>
      <c r="C59">
        <v>433</v>
      </c>
      <c r="D59">
        <v>522</v>
      </c>
      <c r="E59">
        <v>609</v>
      </c>
      <c r="F59">
        <v>884</v>
      </c>
      <c r="G59">
        <v>546</v>
      </c>
      <c r="H59">
        <v>266</v>
      </c>
      <c r="I59">
        <v>74</v>
      </c>
      <c r="J59">
        <v>92</v>
      </c>
      <c r="K59">
        <v>591</v>
      </c>
      <c r="L59">
        <v>572</v>
      </c>
      <c r="M59">
        <v>619</v>
      </c>
      <c r="N59">
        <v>4777780</v>
      </c>
      <c r="O59">
        <v>4777768</v>
      </c>
      <c r="P59">
        <v>2372376</v>
      </c>
      <c r="Q59">
        <v>4777780</v>
      </c>
      <c r="R59">
        <v>4777780</v>
      </c>
      <c r="S59">
        <v>4777768</v>
      </c>
      <c r="T59">
        <v>4777780</v>
      </c>
      <c r="U59">
        <v>4777768</v>
      </c>
      <c r="V59">
        <v>2080634</v>
      </c>
      <c r="W59">
        <v>4777768</v>
      </c>
      <c r="X59">
        <v>4777780</v>
      </c>
      <c r="Y59">
        <v>4777780</v>
      </c>
    </row>
    <row r="60" spans="2:25" x14ac:dyDescent="0.25">
      <c r="B60">
        <v>722</v>
      </c>
      <c r="C60">
        <v>434</v>
      </c>
      <c r="D60">
        <v>522</v>
      </c>
      <c r="E60">
        <v>607</v>
      </c>
      <c r="F60">
        <v>882</v>
      </c>
      <c r="G60">
        <v>546</v>
      </c>
      <c r="H60">
        <v>263</v>
      </c>
      <c r="I60">
        <v>73</v>
      </c>
      <c r="J60">
        <v>95</v>
      </c>
      <c r="K60">
        <v>586</v>
      </c>
      <c r="L60">
        <v>580</v>
      </c>
      <c r="M60">
        <v>620</v>
      </c>
      <c r="N60">
        <v>4777780</v>
      </c>
      <c r="O60">
        <v>4777768</v>
      </c>
      <c r="P60">
        <v>2372376</v>
      </c>
      <c r="Q60">
        <v>4777780</v>
      </c>
      <c r="R60">
        <v>4777780</v>
      </c>
      <c r="S60">
        <v>4777768</v>
      </c>
      <c r="T60">
        <v>4777780</v>
      </c>
      <c r="U60">
        <v>4777768</v>
      </c>
      <c r="V60">
        <v>2080634</v>
      </c>
      <c r="W60">
        <v>4777768</v>
      </c>
      <c r="X60">
        <v>4777780</v>
      </c>
      <c r="Y60">
        <v>4777780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1197</v>
      </c>
      <c r="C64">
        <v>561</v>
      </c>
      <c r="D64">
        <v>632</v>
      </c>
      <c r="E64">
        <v>876</v>
      </c>
      <c r="F64">
        <v>1187</v>
      </c>
      <c r="G64">
        <v>824</v>
      </c>
      <c r="H64">
        <v>517</v>
      </c>
      <c r="I64">
        <v>157</v>
      </c>
      <c r="J64">
        <v>158</v>
      </c>
      <c r="K64">
        <v>1383</v>
      </c>
      <c r="L64">
        <v>713</v>
      </c>
      <c r="M64">
        <v>860</v>
      </c>
    </row>
    <row r="65" spans="2:13" x14ac:dyDescent="0.25">
      <c r="B65">
        <v>1199</v>
      </c>
      <c r="C65">
        <v>559</v>
      </c>
      <c r="D65">
        <v>629</v>
      </c>
      <c r="E65">
        <v>874</v>
      </c>
      <c r="F65">
        <v>1181</v>
      </c>
      <c r="G65">
        <v>825</v>
      </c>
      <c r="H65">
        <v>518</v>
      </c>
      <c r="I65">
        <v>148</v>
      </c>
      <c r="J65">
        <v>160</v>
      </c>
      <c r="K65">
        <v>1344</v>
      </c>
      <c r="L65">
        <v>725</v>
      </c>
      <c r="M65">
        <v>829</v>
      </c>
    </row>
    <row r="66" spans="2:13" x14ac:dyDescent="0.25">
      <c r="B66">
        <v>1196</v>
      </c>
      <c r="C66">
        <v>560</v>
      </c>
      <c r="D66">
        <v>629</v>
      </c>
      <c r="E66">
        <v>873</v>
      </c>
      <c r="F66">
        <v>1187</v>
      </c>
      <c r="G66">
        <v>826</v>
      </c>
      <c r="H66">
        <v>531</v>
      </c>
      <c r="I66">
        <v>163</v>
      </c>
      <c r="J66">
        <v>160</v>
      </c>
      <c r="K66">
        <v>1368</v>
      </c>
      <c r="L66">
        <v>751</v>
      </c>
      <c r="M66">
        <v>856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AVERAGE(Table22[Newtonsoft])</f>
        <v>862.66666666666663</v>
      </c>
      <c r="D38" s="2">
        <f>AVERAGE(Table22[Revenj])</f>
        <v>894</v>
      </c>
      <c r="E38" s="2">
        <f>AVERAGE(Table22[ProtoBuf (binary reference)])</f>
        <v>853.33333333333337</v>
      </c>
      <c r="F38" s="2">
        <f>AVERAGE(Table22[Service Stack])</f>
        <v>866</v>
      </c>
      <c r="G38" s="2">
        <f>AVERAGE(Table22[Jil])</f>
        <v>875.66666666666663</v>
      </c>
      <c r="H38" s="2">
        <f>AVERAGE(Table22[NetJSON])</f>
        <v>874.66666666666663</v>
      </c>
      <c r="I38" s="2">
        <f>AVERAGE(Table22[Jackson])</f>
        <v>117.33333333333333</v>
      </c>
      <c r="J38" s="2">
        <f>AVERAGE(Table22[DSL-JSON])</f>
        <v>115.33333333333333</v>
      </c>
      <c r="K38" s="2">
        <f>AVERAGE(Table22[Kryo (binary reference)])</f>
        <v>114</v>
      </c>
      <c r="L38" s="2">
        <f>AVERAGE(Table22[Boon])</f>
        <v>115.33333333333333</v>
      </c>
      <c r="M38" s="2">
        <f>AVERAGE(Table22[Alibaba])</f>
        <v>115</v>
      </c>
      <c r="N38" s="2">
        <f>AVERAGE(Table22[Gson])</f>
        <v>123.33333333333333</v>
      </c>
      <c r="O38" s="2"/>
      <c r="P38" s="2"/>
      <c r="Q38" s="2"/>
    </row>
    <row r="39" spans="2:17" x14ac:dyDescent="0.25">
      <c r="B39" t="s">
        <v>0</v>
      </c>
      <c r="C39" s="2">
        <f>AVERAGE(Table21[Newtonsoft]) - C38</f>
        <v>2021.3333333333335</v>
      </c>
      <c r="D39" s="2">
        <f>AVERAGE(Table21[Revenj]) - D38</f>
        <v>544</v>
      </c>
      <c r="E39" s="2">
        <f>AVERAGE(Table21[ProtoBuf (binary reference)]) - E38</f>
        <v>576.66666666666663</v>
      </c>
      <c r="F39" s="2">
        <f>AVERAGE(Table21[Service Stack]) - F38</f>
        <v>1373.6666666666665</v>
      </c>
      <c r="G39" s="2">
        <f>AVERAGE(Table21[Jil]) - G38</f>
        <v>1767.666666666667</v>
      </c>
      <c r="H39" s="2">
        <f>AVERAGE(Table21[NetJSON]) - H38</f>
        <v>863.66666666666663</v>
      </c>
      <c r="I39" s="2">
        <f>AVERAGE(Table21[Jackson]) - I38</f>
        <v>531.66666666666663</v>
      </c>
      <c r="J39" s="2">
        <f>AVERAGE(Table21[DSL-JSON]) - J38</f>
        <v>162.33333333333337</v>
      </c>
      <c r="K39" s="2">
        <f>AVERAGE(Table21[Kryo (binary reference)]) - K38</f>
        <v>177.66666666666669</v>
      </c>
      <c r="L39" s="2">
        <f>AVERAGE(Table21[Boon]) - L38</f>
        <v>3099.333333333333</v>
      </c>
      <c r="M39" s="2">
        <f>AVERAGE(Table21[Alibaba]) - M38</f>
        <v>2868.3333333333335</v>
      </c>
      <c r="N39" s="2">
        <f>AVERAGE(Table21[Gson]) - N38</f>
        <v>3660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4110.333333333333</v>
      </c>
      <c r="D40" s="2">
        <f t="shared" si="0"/>
        <v>1119.3333333333335</v>
      </c>
      <c r="E40" s="2">
        <f t="shared" ref="E40" si="1">E41 - E39 - E38</f>
        <v>1024.3333333333335</v>
      </c>
      <c r="F40" s="2">
        <f t="shared" si="0"/>
        <v>2370.0000000000005</v>
      </c>
      <c r="G40" s="2">
        <f t="shared" si="0"/>
        <v>1713.6666666666665</v>
      </c>
      <c r="H40" s="2">
        <f t="shared" si="0"/>
        <v>2773</v>
      </c>
      <c r="I40" s="2">
        <f t="shared" ref="I40" si="2">I41 - I39 - I38</f>
        <v>895.33333333333326</v>
      </c>
      <c r="J40" s="2">
        <f t="shared" ref="J40" si="3">J41 - J39 - J38</f>
        <v>231.33333333333331</v>
      </c>
      <c r="K40" s="2">
        <f t="shared" ref="K40:L40" si="4">K41 - K39 - K38</f>
        <v>191.66666666666663</v>
      </c>
      <c r="L40" s="2">
        <f t="shared" si="4"/>
        <v>5934.3333333333339</v>
      </c>
      <c r="M40" s="2">
        <f t="shared" ref="M40" si="5">M41 - M39 - M38</f>
        <v>672.66666666666652</v>
      </c>
      <c r="N40" s="2">
        <f t="shared" ref="N40" si="6">N41 - N39 - N38</f>
        <v>1415.6666666666667</v>
      </c>
      <c r="O40" s="2"/>
      <c r="P40" s="2"/>
      <c r="Q40" s="2"/>
    </row>
    <row r="41" spans="2:17" x14ac:dyDescent="0.25">
      <c r="B41" t="s">
        <v>23</v>
      </c>
      <c r="C41" s="2">
        <f>AVERAGE(Table23[Newtonsoft])</f>
        <v>6994.333333333333</v>
      </c>
      <c r="D41" s="2">
        <f>AVERAGE(Table23[Revenj])</f>
        <v>2557.3333333333335</v>
      </c>
      <c r="E41" s="2">
        <f>AVERAGE(Table23[ProtoBuf (binary reference)])</f>
        <v>2454.3333333333335</v>
      </c>
      <c r="F41" s="2">
        <f>AVERAGE(Table23[Service Stack])</f>
        <v>4609.666666666667</v>
      </c>
      <c r="G41" s="2">
        <f>AVERAGE(Table23[Jil])</f>
        <v>4357</v>
      </c>
      <c r="H41" s="2">
        <f>AVERAGE(Table23[NetJSON])</f>
        <v>4511.333333333333</v>
      </c>
      <c r="I41" s="2">
        <f>AVERAGE(Table23[Jackson])</f>
        <v>1544.3333333333333</v>
      </c>
      <c r="J41" s="2">
        <f>AVERAGE(Table23[DSL-JSON])</f>
        <v>509</v>
      </c>
      <c r="K41" s="2">
        <f>AVERAGE(Table23[Kryo (binary reference)])</f>
        <v>483.33333333333331</v>
      </c>
      <c r="L41" s="2">
        <f>AVERAGE(Table23[Boon])</f>
        <v>9149</v>
      </c>
      <c r="M41" s="2">
        <f>AVERAGE(Table23[Alibaba])</f>
        <v>3656</v>
      </c>
      <c r="N41" s="2">
        <f>AVERAGE(Table23[Gson])</f>
        <v>5199</v>
      </c>
      <c r="O41" s="2"/>
      <c r="P41" s="2"/>
      <c r="Q41" s="2"/>
    </row>
    <row r="42" spans="2:17" x14ac:dyDescent="0.25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AVERAGE(Table21[ProtoBuf (size)])</f>
        <v>24872376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49777780</v>
      </c>
      <c r="J42" s="2">
        <f>AVERAGE(Table21[DSL-JSON (size)])</f>
        <v>49777768</v>
      </c>
      <c r="K42" s="2">
        <f>AVERAGE(Table21[Kryo (size)])</f>
        <v>21880634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DEVSQ(Table21[Newtonsoft])</f>
        <v>744</v>
      </c>
      <c r="D47" s="2">
        <f>DEVSQ(Table21[Revenj])</f>
        <v>6</v>
      </c>
      <c r="E47" s="2">
        <f>DEVSQ(Table21[ProtoBuf (binary reference)])</f>
        <v>96</v>
      </c>
      <c r="F47" s="2">
        <f>DEVSQ(Table21[Service Stack])</f>
        <v>20.666666666666664</v>
      </c>
      <c r="G47" s="2">
        <f>DEVSQ(Table21[Jil])</f>
        <v>1298.6666666666665</v>
      </c>
      <c r="H47" s="2">
        <f>DEVSQ(Table21[NetJSON])</f>
        <v>210.66666666666666</v>
      </c>
      <c r="I47" s="2">
        <f>DEVSQ(Table21[Jackson])</f>
        <v>194</v>
      </c>
      <c r="J47" s="2">
        <f>DEVSQ(Table21[DSL-JSON])</f>
        <v>66.666666666666671</v>
      </c>
      <c r="K47" s="2">
        <f>DEVSQ(Table21[Kryo (binary reference)])</f>
        <v>24.666666666666668</v>
      </c>
      <c r="L47" s="2">
        <f>DEVSQ(Table21[Boon])</f>
        <v>32216.666666666664</v>
      </c>
      <c r="M47" s="2">
        <f>DEVSQ(Table21[Alibaba])</f>
        <v>17112.666666666668</v>
      </c>
      <c r="N47" s="2">
        <f>DEVSQ(Table21[Gson])</f>
        <v>28692.666666666668</v>
      </c>
      <c r="O47" s="2"/>
      <c r="P47" s="2"/>
      <c r="Q47" s="2"/>
    </row>
    <row r="48" spans="2:17" x14ac:dyDescent="0.25">
      <c r="B48" t="s">
        <v>23</v>
      </c>
      <c r="C48" s="2">
        <f>DEVSQ(Table23[Newtonsoft])</f>
        <v>1264.6666666666665</v>
      </c>
      <c r="D48" s="2">
        <f>DEVSQ(Table23[Revenj])</f>
        <v>18.666666666666664</v>
      </c>
      <c r="E48" s="2">
        <f>DEVSQ(Table23[ProtoBuf (binary reference)])</f>
        <v>312.66666666666663</v>
      </c>
      <c r="F48" s="2">
        <f>DEVSQ(Table23[Service Stack])</f>
        <v>964.66666666666652</v>
      </c>
      <c r="G48" s="2">
        <f>DEVSQ(Table23[Jil])</f>
        <v>38</v>
      </c>
      <c r="H48" s="2">
        <f>DEVSQ(Table23[NetJSON])</f>
        <v>650.66666666666663</v>
      </c>
      <c r="I48" s="2">
        <f>DEVSQ(Table23[Jackson])</f>
        <v>32308.666666666664</v>
      </c>
      <c r="J48" s="2">
        <f>DEVSQ(Table23[DSL-JSON])</f>
        <v>72</v>
      </c>
      <c r="K48" s="2">
        <f>DEVSQ(Table23[Kryo (binary reference)])</f>
        <v>28.666666666666668</v>
      </c>
      <c r="L48" s="2">
        <f>DEVSQ(Table23[Boon])</f>
        <v>310982</v>
      </c>
      <c r="M48" s="2">
        <f>DEVSQ(Table23[Alibaba])</f>
        <v>38066</v>
      </c>
      <c r="N48" s="2">
        <f>DEVSQ(Table23[Gson])</f>
        <v>26138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861</v>
      </c>
      <c r="C52">
        <v>895</v>
      </c>
      <c r="D52">
        <v>856</v>
      </c>
      <c r="E52">
        <v>862</v>
      </c>
      <c r="F52">
        <v>878</v>
      </c>
      <c r="G52">
        <v>875</v>
      </c>
      <c r="H52">
        <v>115</v>
      </c>
      <c r="I52">
        <v>115</v>
      </c>
      <c r="J52">
        <v>114</v>
      </c>
      <c r="K52">
        <v>117</v>
      </c>
      <c r="L52">
        <v>116</v>
      </c>
      <c r="M52">
        <v>117</v>
      </c>
    </row>
    <row r="53" spans="2:25" x14ac:dyDescent="0.25">
      <c r="B53">
        <v>864</v>
      </c>
      <c r="C53">
        <v>892</v>
      </c>
      <c r="D53">
        <v>852</v>
      </c>
      <c r="E53">
        <v>873</v>
      </c>
      <c r="F53">
        <v>873</v>
      </c>
      <c r="G53">
        <v>873</v>
      </c>
      <c r="H53">
        <v>119</v>
      </c>
      <c r="I53">
        <v>115</v>
      </c>
      <c r="J53">
        <v>113</v>
      </c>
      <c r="K53">
        <v>115</v>
      </c>
      <c r="L53">
        <v>115</v>
      </c>
      <c r="M53">
        <v>116</v>
      </c>
    </row>
    <row r="54" spans="2:25" x14ac:dyDescent="0.25">
      <c r="B54">
        <v>863</v>
      </c>
      <c r="C54">
        <v>895</v>
      </c>
      <c r="D54">
        <v>852</v>
      </c>
      <c r="E54">
        <v>863</v>
      </c>
      <c r="F54">
        <v>876</v>
      </c>
      <c r="G54">
        <v>876</v>
      </c>
      <c r="H54">
        <v>118</v>
      </c>
      <c r="I54">
        <v>116</v>
      </c>
      <c r="J54">
        <v>115</v>
      </c>
      <c r="K54">
        <v>114</v>
      </c>
      <c r="L54">
        <v>114</v>
      </c>
      <c r="M54">
        <v>137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2876</v>
      </c>
      <c r="C58">
        <v>1437</v>
      </c>
      <c r="D58">
        <v>1438</v>
      </c>
      <c r="E58">
        <v>2236</v>
      </c>
      <c r="F58">
        <v>2614</v>
      </c>
      <c r="G58">
        <v>1747</v>
      </c>
      <c r="H58">
        <v>641</v>
      </c>
      <c r="I58">
        <v>281</v>
      </c>
      <c r="J58">
        <v>288</v>
      </c>
      <c r="K58">
        <v>3318</v>
      </c>
      <c r="L58">
        <v>2917</v>
      </c>
      <c r="M58">
        <v>3649</v>
      </c>
      <c r="N58">
        <v>49777780</v>
      </c>
      <c r="O58">
        <v>49777768</v>
      </c>
      <c r="P58">
        <v>24872376</v>
      </c>
      <c r="Q58">
        <v>49777780</v>
      </c>
      <c r="R58">
        <v>49777780</v>
      </c>
      <c r="S58">
        <v>49777768</v>
      </c>
      <c r="T58">
        <v>49777780</v>
      </c>
      <c r="U58">
        <v>49777768</v>
      </c>
      <c r="V58">
        <v>21880634</v>
      </c>
      <c r="W58">
        <v>49777768</v>
      </c>
      <c r="X58">
        <v>49777780</v>
      </c>
      <c r="Y58">
        <v>49777780</v>
      </c>
    </row>
    <row r="59" spans="2:25" x14ac:dyDescent="0.25">
      <c r="B59">
        <v>2870</v>
      </c>
      <c r="C59">
        <v>1437</v>
      </c>
      <c r="D59">
        <v>1426</v>
      </c>
      <c r="E59">
        <v>2241</v>
      </c>
      <c r="F59">
        <v>2656</v>
      </c>
      <c r="G59">
        <v>1741</v>
      </c>
      <c r="H59">
        <v>660</v>
      </c>
      <c r="I59">
        <v>281</v>
      </c>
      <c r="J59">
        <v>295</v>
      </c>
      <c r="K59">
        <v>3253</v>
      </c>
      <c r="L59">
        <v>2944</v>
      </c>
      <c r="M59">
        <v>3879</v>
      </c>
      <c r="N59">
        <v>49777780</v>
      </c>
      <c r="O59">
        <v>49777768</v>
      </c>
      <c r="P59">
        <v>24872376</v>
      </c>
      <c r="Q59">
        <v>49777780</v>
      </c>
      <c r="R59">
        <v>49777780</v>
      </c>
      <c r="S59">
        <v>49777768</v>
      </c>
      <c r="T59">
        <v>49777780</v>
      </c>
      <c r="U59">
        <v>49777768</v>
      </c>
      <c r="V59">
        <v>21880634</v>
      </c>
      <c r="W59">
        <v>49777768</v>
      </c>
      <c r="X59">
        <v>49777780</v>
      </c>
      <c r="Y59">
        <v>49777780</v>
      </c>
    </row>
    <row r="60" spans="2:25" x14ac:dyDescent="0.25">
      <c r="B60">
        <v>2906</v>
      </c>
      <c r="C60">
        <v>1440</v>
      </c>
      <c r="D60">
        <v>1426</v>
      </c>
      <c r="E60">
        <v>2242</v>
      </c>
      <c r="F60">
        <v>2660</v>
      </c>
      <c r="G60">
        <v>1727</v>
      </c>
      <c r="H60">
        <v>646</v>
      </c>
      <c r="I60">
        <v>271</v>
      </c>
      <c r="J60">
        <v>292</v>
      </c>
      <c r="K60">
        <v>3073</v>
      </c>
      <c r="L60">
        <v>3089</v>
      </c>
      <c r="M60">
        <v>3822</v>
      </c>
      <c r="N60">
        <v>49777780</v>
      </c>
      <c r="O60">
        <v>49777768</v>
      </c>
      <c r="P60">
        <v>24872376</v>
      </c>
      <c r="Q60">
        <v>49777780</v>
      </c>
      <c r="R60">
        <v>49777780</v>
      </c>
      <c r="S60">
        <v>49777768</v>
      </c>
      <c r="T60">
        <v>49777780</v>
      </c>
      <c r="U60">
        <v>49777768</v>
      </c>
      <c r="V60">
        <v>21880634</v>
      </c>
      <c r="W60">
        <v>49777768</v>
      </c>
      <c r="X60">
        <v>49777780</v>
      </c>
      <c r="Y60">
        <v>49777780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7014</v>
      </c>
      <c r="C64">
        <v>2554</v>
      </c>
      <c r="D64">
        <v>2467</v>
      </c>
      <c r="E64">
        <v>4598</v>
      </c>
      <c r="F64">
        <v>4360</v>
      </c>
      <c r="G64">
        <v>4494</v>
      </c>
      <c r="H64">
        <v>1456</v>
      </c>
      <c r="I64">
        <v>509</v>
      </c>
      <c r="J64">
        <v>485</v>
      </c>
      <c r="K64">
        <v>8795</v>
      </c>
      <c r="L64">
        <v>3800</v>
      </c>
      <c r="M64">
        <v>5179</v>
      </c>
    </row>
    <row r="65" spans="2:13" x14ac:dyDescent="0.25">
      <c r="B65">
        <v>7003</v>
      </c>
      <c r="C65">
        <v>2558</v>
      </c>
      <c r="D65">
        <v>2454</v>
      </c>
      <c r="E65">
        <v>4635</v>
      </c>
      <c r="F65">
        <v>4359</v>
      </c>
      <c r="G65">
        <v>4530</v>
      </c>
      <c r="H65">
        <v>1690</v>
      </c>
      <c r="I65">
        <v>515</v>
      </c>
      <c r="J65">
        <v>486</v>
      </c>
      <c r="K65">
        <v>9078</v>
      </c>
      <c r="L65">
        <v>3643</v>
      </c>
      <c r="M65">
        <v>5322</v>
      </c>
    </row>
    <row r="66" spans="2:13" x14ac:dyDescent="0.25">
      <c r="B66">
        <v>6966</v>
      </c>
      <c r="C66">
        <v>2560</v>
      </c>
      <c r="D66">
        <v>2442</v>
      </c>
      <c r="E66">
        <v>4596</v>
      </c>
      <c r="F66">
        <v>4352</v>
      </c>
      <c r="G66">
        <v>4510</v>
      </c>
      <c r="H66">
        <v>1487</v>
      </c>
      <c r="I66">
        <v>503</v>
      </c>
      <c r="J66">
        <v>479</v>
      </c>
      <c r="K66">
        <v>9574</v>
      </c>
      <c r="L66">
        <v>3525</v>
      </c>
      <c r="M66">
        <v>5096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AVERAGE(Table27[Newtonsoft])</f>
        <v>5883.666666666667</v>
      </c>
      <c r="D38" s="2">
        <f>AVERAGE(Table27[Revenj])</f>
        <v>6158.333333333333</v>
      </c>
      <c r="E38" s="2">
        <f>AVERAGE(Table27[ProtoBuf (binary reference)])</f>
        <v>5771.333333333333</v>
      </c>
      <c r="F38" s="2">
        <f>AVERAGE(Table27[Service Stack])</f>
        <v>5851.666666666667</v>
      </c>
      <c r="G38" s="2">
        <f>AVERAGE(Table27[Jil])</f>
        <v>5917.333333333333</v>
      </c>
      <c r="H38" s="2">
        <f>AVERAGE(Table27[NetJSON])</f>
        <v>5973</v>
      </c>
      <c r="I38" s="2">
        <f>AVERAGE(Table27[Jackson])</f>
        <v>656.66666666666663</v>
      </c>
      <c r="J38" s="2">
        <f>AVERAGE(Table27[DSL-JSON])</f>
        <v>635.33333333333337</v>
      </c>
      <c r="K38" s="2">
        <f>AVERAGE(Table27[Kryo (binary reference)])</f>
        <v>624</v>
      </c>
      <c r="L38" s="2">
        <f>AVERAGE(Table27[Boon])</f>
        <v>610</v>
      </c>
      <c r="M38" s="2">
        <f>AVERAGE(Table27[Alibaba])</f>
        <v>625.66666666666663</v>
      </c>
      <c r="N38" s="2">
        <f>AVERAGE(Table27[Gson])</f>
        <v>643.66666666666663</v>
      </c>
      <c r="O38" s="2"/>
      <c r="P38" s="2"/>
      <c r="Q38" s="2"/>
    </row>
    <row r="39" spans="2:17" x14ac:dyDescent="0.25">
      <c r="B39" t="s">
        <v>0</v>
      </c>
      <c r="C39" s="2">
        <f>AVERAGE(Table26[Newtonsoft]) - C38</f>
        <v>18832.666666666664</v>
      </c>
      <c r="D39" s="2">
        <f>AVERAGE(Table26[Revenj]) - D38</f>
        <v>5477.333333333333</v>
      </c>
      <c r="E39" s="2">
        <f>AVERAGE(Table26[ProtoBuf (binary reference)]) - E38</f>
        <v>4714.333333333333</v>
      </c>
      <c r="F39" s="2">
        <f>AVERAGE(Table26[Service Stack]) - F38</f>
        <v>12745.666666666664</v>
      </c>
      <c r="G39" s="2">
        <f>AVERAGE(Table26[Jil]) - G38</f>
        <v>14446</v>
      </c>
      <c r="H39" s="2">
        <f>AVERAGE(Table26[NetJSON]) - H38</f>
        <v>7690.6666666666661</v>
      </c>
      <c r="I39" s="2">
        <f>AVERAGE(Table26[Jackson]) - I38</f>
        <v>4180.333333333333</v>
      </c>
      <c r="J39" s="2">
        <f>AVERAGE(Table26[DSL-JSON]) - J38</f>
        <v>1428</v>
      </c>
      <c r="K39" s="2">
        <f>AVERAGE(Table26[Kryo (binary reference)]) - K38</f>
        <v>1400.6666666666667</v>
      </c>
      <c r="L39" s="2">
        <f>AVERAGE(Table26[Boon]) - L38</f>
        <v>26694.333333333332</v>
      </c>
      <c r="M39" s="2">
        <f>AVERAGE(Table26[Alibaba]) - M38</f>
        <v>24102</v>
      </c>
      <c r="N39" s="2">
        <f>AVERAGE(Table26[Gson]) - N38</f>
        <v>31824.333333333332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40892.333333333343</v>
      </c>
      <c r="D40" s="2">
        <f t="shared" si="0"/>
        <v>11109.666666666668</v>
      </c>
      <c r="E40" s="2">
        <f t="shared" ref="E40" si="1">E41 - E39 - E38</f>
        <v>10243.666666666668</v>
      </c>
      <c r="F40" s="2">
        <f t="shared" si="0"/>
        <v>23204.333333333332</v>
      </c>
      <c r="G40" s="2">
        <f t="shared" si="0"/>
        <v>16447.000000000004</v>
      </c>
      <c r="H40" s="2">
        <f t="shared" si="0"/>
        <v>27439.666666666672</v>
      </c>
      <c r="I40" s="2">
        <f t="shared" ref="I40" si="2">I41 - I39 - I38</f>
        <v>6005.6666666666661</v>
      </c>
      <c r="J40" s="2">
        <f t="shared" ref="J40" si="3">J41 - J39 - J38</f>
        <v>1942</v>
      </c>
      <c r="K40" s="2">
        <f t="shared" ref="K40:L40" si="4">K41 - K39 - K38</f>
        <v>1636.666666666667</v>
      </c>
      <c r="L40" s="2">
        <f t="shared" si="4"/>
        <v>54901</v>
      </c>
      <c r="M40" s="2">
        <f t="shared" ref="M40" si="5">M41 - M39 - M38</f>
        <v>4333.6666666666652</v>
      </c>
      <c r="N40" s="2">
        <f t="shared" ref="N40" si="6">N41 - N39 - N38</f>
        <v>13302.000000000002</v>
      </c>
      <c r="O40" s="2"/>
      <c r="P40" s="2"/>
      <c r="Q40" s="2"/>
    </row>
    <row r="41" spans="2:17" x14ac:dyDescent="0.25">
      <c r="B41" t="s">
        <v>23</v>
      </c>
      <c r="C41" s="2">
        <f>AVERAGE(Table28[Newtonsoft])</f>
        <v>65608.666666666672</v>
      </c>
      <c r="D41" s="2">
        <f>AVERAGE(Table28[Revenj])</f>
        <v>22745.333333333332</v>
      </c>
      <c r="E41" s="2">
        <f>AVERAGE(Table28[ProtoBuf (binary reference)])</f>
        <v>20729.333333333332</v>
      </c>
      <c r="F41" s="2">
        <f>AVERAGE(Table28[Service Stack])</f>
        <v>41801.666666666664</v>
      </c>
      <c r="G41" s="2">
        <f>AVERAGE(Table28[Jil])</f>
        <v>36810.333333333336</v>
      </c>
      <c r="H41" s="2">
        <f>AVERAGE(Table28[NetJSON])</f>
        <v>41103.333333333336</v>
      </c>
      <c r="I41" s="2">
        <f>AVERAGE(Table28[Jackson])</f>
        <v>10842.666666666666</v>
      </c>
      <c r="J41" s="2">
        <f>AVERAGE(Table28[DSL-JSON])</f>
        <v>4005.3333333333335</v>
      </c>
      <c r="K41" s="2">
        <f>AVERAGE(Table28[Kryo (binary reference)])</f>
        <v>3661.3333333333335</v>
      </c>
      <c r="L41" s="2">
        <f>AVERAGE(Table28[Boon])</f>
        <v>82205.333333333328</v>
      </c>
      <c r="M41" s="2">
        <f>AVERAGE(Table28[Alibaba])</f>
        <v>29061.333333333332</v>
      </c>
      <c r="N41" s="2">
        <f>AVERAGE(Table28[Gson])</f>
        <v>45770</v>
      </c>
      <c r="O41" s="2"/>
      <c r="P41" s="2"/>
      <c r="Q41" s="2"/>
    </row>
    <row r="42" spans="2:17" x14ac:dyDescent="0.25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AVERAGE(Table26[ProtoBuf (size)])</f>
        <v>266775224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517777780</v>
      </c>
      <c r="J42" s="2">
        <f>AVERAGE(Table26[DSL-JSON (size)])</f>
        <v>517777768</v>
      </c>
      <c r="K42" s="2">
        <f>AVERAGE(Table26[Kryo (size)])</f>
        <v>237832058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DEVSQ(Table26[Newtonsoft])</f>
        <v>172.66666666666669</v>
      </c>
      <c r="D47" s="2">
        <f>DEVSQ(Table26[Revenj])</f>
        <v>780.66666666666674</v>
      </c>
      <c r="E47" s="2">
        <f>DEVSQ(Table26[ProtoBuf (binary reference)])</f>
        <v>204.66666666666666</v>
      </c>
      <c r="F47" s="2">
        <f>DEVSQ(Table26[Service Stack])</f>
        <v>1012.6666666666666</v>
      </c>
      <c r="G47" s="2">
        <f>DEVSQ(Table26[Jil])</f>
        <v>338448.66666666669</v>
      </c>
      <c r="H47" s="2">
        <f>DEVSQ(Table26[NetJSON])</f>
        <v>13572.666666666666</v>
      </c>
      <c r="I47" s="2">
        <f>DEVSQ(Table26[Jackson])</f>
        <v>412814</v>
      </c>
      <c r="J47" s="2">
        <f>DEVSQ(Table26[DSL-JSON])</f>
        <v>68.666666666666671</v>
      </c>
      <c r="K47" s="2">
        <f>DEVSQ(Table26[Kryo (binary reference)])</f>
        <v>2616.666666666667</v>
      </c>
      <c r="L47" s="2">
        <f>DEVSQ(Table26[Boon])</f>
        <v>35344.666666666664</v>
      </c>
      <c r="M47" s="2">
        <f>DEVSQ(Table26[Alibaba])</f>
        <v>15944.666666666666</v>
      </c>
      <c r="N47" s="2">
        <f>DEVSQ(Table26[Gson])</f>
        <v>41706</v>
      </c>
      <c r="O47" s="2"/>
      <c r="P47" s="2"/>
      <c r="Q47" s="2"/>
    </row>
    <row r="48" spans="2:17" x14ac:dyDescent="0.25">
      <c r="B48" t="s">
        <v>23</v>
      </c>
      <c r="C48" s="2">
        <f>DEVSQ(Table28[Newtonsoft])</f>
        <v>8112.6666666666661</v>
      </c>
      <c r="D48" s="2">
        <f>DEVSQ(Table28[Revenj])</f>
        <v>4138.666666666667</v>
      </c>
      <c r="E48" s="2">
        <f>DEVSQ(Table28[ProtoBuf (binary reference)])</f>
        <v>32452.666666666664</v>
      </c>
      <c r="F48" s="2">
        <f>DEVSQ(Table28[Service Stack])</f>
        <v>26824.666666666668</v>
      </c>
      <c r="G48" s="2">
        <f>DEVSQ(Table28[Jil])</f>
        <v>50312.666666666672</v>
      </c>
      <c r="H48" s="2">
        <f>DEVSQ(Table28[NetJSON])</f>
        <v>55440.666666666657</v>
      </c>
      <c r="I48" s="2">
        <f>DEVSQ(Table28[Jackson])</f>
        <v>910794.66666666663</v>
      </c>
      <c r="J48" s="2">
        <f>DEVSQ(Table28[DSL-JSON])</f>
        <v>2034.666666666667</v>
      </c>
      <c r="K48" s="2">
        <f>DEVSQ(Table28[Kryo (binary reference)])</f>
        <v>32888.666666666664</v>
      </c>
      <c r="L48" s="2">
        <f>DEVSQ(Table28[Boon])</f>
        <v>4303068.666666667</v>
      </c>
      <c r="M48" s="2">
        <f>DEVSQ(Table28[Alibaba])</f>
        <v>931184.66666666663</v>
      </c>
      <c r="N48" s="2">
        <f>DEVSQ(Table28[Gson])</f>
        <v>1114334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5888</v>
      </c>
      <c r="C52">
        <v>6221</v>
      </c>
      <c r="D52">
        <v>5717</v>
      </c>
      <c r="E52">
        <v>5847</v>
      </c>
      <c r="F52">
        <v>5904</v>
      </c>
      <c r="G52">
        <v>5944</v>
      </c>
      <c r="H52">
        <v>641</v>
      </c>
      <c r="I52">
        <v>642</v>
      </c>
      <c r="J52">
        <v>609</v>
      </c>
      <c r="K52">
        <v>627</v>
      </c>
      <c r="L52">
        <v>638</v>
      </c>
      <c r="M52">
        <v>637</v>
      </c>
    </row>
    <row r="53" spans="2:25" x14ac:dyDescent="0.25">
      <c r="B53">
        <v>5891</v>
      </c>
      <c r="C53">
        <v>6122</v>
      </c>
      <c r="D53">
        <v>5877</v>
      </c>
      <c r="E53">
        <v>5863</v>
      </c>
      <c r="F53">
        <v>5940</v>
      </c>
      <c r="G53">
        <v>6005</v>
      </c>
      <c r="H53">
        <v>639</v>
      </c>
      <c r="I53">
        <v>635</v>
      </c>
      <c r="J53">
        <v>630</v>
      </c>
      <c r="K53">
        <v>599</v>
      </c>
      <c r="L53">
        <v>643</v>
      </c>
      <c r="M53">
        <v>652</v>
      </c>
    </row>
    <row r="54" spans="2:25" x14ac:dyDescent="0.25">
      <c r="B54">
        <v>5872</v>
      </c>
      <c r="C54">
        <v>6132</v>
      </c>
      <c r="D54">
        <v>5720</v>
      </c>
      <c r="E54">
        <v>5845</v>
      </c>
      <c r="F54">
        <v>5908</v>
      </c>
      <c r="G54">
        <v>5970</v>
      </c>
      <c r="H54">
        <v>690</v>
      </c>
      <c r="I54">
        <v>629</v>
      </c>
      <c r="J54">
        <v>633</v>
      </c>
      <c r="K54">
        <v>604</v>
      </c>
      <c r="L54">
        <v>596</v>
      </c>
      <c r="M54">
        <v>642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24712</v>
      </c>
      <c r="C58">
        <v>11632</v>
      </c>
      <c r="D58">
        <v>10492</v>
      </c>
      <c r="E58">
        <v>18623</v>
      </c>
      <c r="F58">
        <v>20741</v>
      </c>
      <c r="G58">
        <v>13736</v>
      </c>
      <c r="H58">
        <v>4611</v>
      </c>
      <c r="I58">
        <v>2059</v>
      </c>
      <c r="J58">
        <v>2048</v>
      </c>
      <c r="K58">
        <v>27249</v>
      </c>
      <c r="L58">
        <v>24646</v>
      </c>
      <c r="M58">
        <v>32312</v>
      </c>
      <c r="N58">
        <v>517777780</v>
      </c>
      <c r="O58">
        <v>517777768</v>
      </c>
      <c r="P58">
        <v>266775224</v>
      </c>
      <c r="Q58">
        <v>517777780</v>
      </c>
      <c r="R58">
        <v>517777780</v>
      </c>
      <c r="S58">
        <v>517777768</v>
      </c>
      <c r="T58">
        <v>517777780</v>
      </c>
      <c r="U58">
        <v>517777768</v>
      </c>
      <c r="V58">
        <v>237832058</v>
      </c>
      <c r="W58">
        <v>517777768</v>
      </c>
      <c r="X58">
        <v>517777780</v>
      </c>
      <c r="Y58">
        <v>517777780</v>
      </c>
    </row>
    <row r="59" spans="2:25" x14ac:dyDescent="0.25">
      <c r="B59">
        <v>24710</v>
      </c>
      <c r="C59">
        <v>11618</v>
      </c>
      <c r="D59">
        <v>10491</v>
      </c>
      <c r="E59">
        <v>18581</v>
      </c>
      <c r="F59">
        <v>19925</v>
      </c>
      <c r="G59">
        <v>13574</v>
      </c>
      <c r="H59">
        <v>5360</v>
      </c>
      <c r="I59">
        <v>2061</v>
      </c>
      <c r="J59">
        <v>1983</v>
      </c>
      <c r="K59">
        <v>27456</v>
      </c>
      <c r="L59">
        <v>24714</v>
      </c>
      <c r="M59">
        <v>32495</v>
      </c>
      <c r="N59">
        <v>517777780</v>
      </c>
      <c r="O59">
        <v>517777768</v>
      </c>
      <c r="P59">
        <v>266775224</v>
      </c>
      <c r="Q59">
        <v>517777780</v>
      </c>
      <c r="R59">
        <v>517777780</v>
      </c>
      <c r="S59">
        <v>517777768</v>
      </c>
      <c r="T59">
        <v>517777780</v>
      </c>
      <c r="U59">
        <v>517777768</v>
      </c>
      <c r="V59">
        <v>237832058</v>
      </c>
      <c r="W59">
        <v>517777768</v>
      </c>
      <c r="X59">
        <v>517777780</v>
      </c>
      <c r="Y59">
        <v>517777780</v>
      </c>
    </row>
    <row r="60" spans="2:25" x14ac:dyDescent="0.25">
      <c r="B60">
        <v>24727</v>
      </c>
      <c r="C60">
        <v>11657</v>
      </c>
      <c r="D60">
        <v>10474</v>
      </c>
      <c r="E60">
        <v>18588</v>
      </c>
      <c r="F60">
        <v>20424</v>
      </c>
      <c r="G60">
        <v>13681</v>
      </c>
      <c r="H60">
        <v>4540</v>
      </c>
      <c r="I60">
        <v>2070</v>
      </c>
      <c r="J60">
        <v>2043</v>
      </c>
      <c r="K60">
        <v>27208</v>
      </c>
      <c r="L60">
        <v>24823</v>
      </c>
      <c r="M60">
        <v>32597</v>
      </c>
      <c r="N60">
        <v>517777780</v>
      </c>
      <c r="O60">
        <v>517777768</v>
      </c>
      <c r="P60">
        <v>266775224</v>
      </c>
      <c r="Q60">
        <v>517777780</v>
      </c>
      <c r="R60">
        <v>517777780</v>
      </c>
      <c r="S60">
        <v>517777768</v>
      </c>
      <c r="T60">
        <v>517777780</v>
      </c>
      <c r="U60">
        <v>517777768</v>
      </c>
      <c r="V60">
        <v>237832058</v>
      </c>
      <c r="W60">
        <v>517777768</v>
      </c>
      <c r="X60">
        <v>517777780</v>
      </c>
      <c r="Y60">
        <v>517777780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65561</v>
      </c>
      <c r="C64">
        <v>22708</v>
      </c>
      <c r="D64">
        <v>20689</v>
      </c>
      <c r="E64">
        <v>41872</v>
      </c>
      <c r="F64">
        <v>36683</v>
      </c>
      <c r="G64">
        <v>41292</v>
      </c>
      <c r="H64">
        <v>10188</v>
      </c>
      <c r="I64">
        <v>4032</v>
      </c>
      <c r="J64">
        <v>3578</v>
      </c>
      <c r="K64">
        <v>80616</v>
      </c>
      <c r="L64">
        <v>29198</v>
      </c>
      <c r="M64">
        <v>46347</v>
      </c>
    </row>
    <row r="65" spans="2:13" x14ac:dyDescent="0.25">
      <c r="B65">
        <v>65681</v>
      </c>
      <c r="C65">
        <v>22732</v>
      </c>
      <c r="D65">
        <v>20872</v>
      </c>
      <c r="E65">
        <v>41668</v>
      </c>
      <c r="F65">
        <v>36760</v>
      </c>
      <c r="G65">
        <v>40977</v>
      </c>
      <c r="H65">
        <v>10804</v>
      </c>
      <c r="I65">
        <v>3970</v>
      </c>
      <c r="J65">
        <v>3809</v>
      </c>
      <c r="K65">
        <v>83507</v>
      </c>
      <c r="L65">
        <v>28321</v>
      </c>
      <c r="M65">
        <v>46036</v>
      </c>
    </row>
    <row r="66" spans="2:13" x14ac:dyDescent="0.25">
      <c r="B66">
        <v>65584</v>
      </c>
      <c r="C66">
        <v>22796</v>
      </c>
      <c r="D66">
        <v>20627</v>
      </c>
      <c r="E66">
        <v>41865</v>
      </c>
      <c r="F66">
        <v>36988</v>
      </c>
      <c r="G66">
        <v>41041</v>
      </c>
      <c r="H66">
        <v>11536</v>
      </c>
      <c r="I66">
        <v>4014</v>
      </c>
      <c r="J66">
        <v>3597</v>
      </c>
      <c r="K66">
        <v>82493</v>
      </c>
      <c r="L66">
        <v>29665</v>
      </c>
      <c r="M66">
        <v>44927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AVERAGE(Table32[Newtonsoft])</f>
        <v>70.666666666666671</v>
      </c>
      <c r="D38" s="2">
        <f>AVERAGE(Table32[Revenj])</f>
        <v>68</v>
      </c>
      <c r="E38" s="2">
        <f>AVERAGE(Table32[ProtoBuf (binary reference)])</f>
        <v>69.666666666666671</v>
      </c>
      <c r="F38" s="2">
        <f>AVERAGE(Table32[Service Stack])</f>
        <v>68.666666666666671</v>
      </c>
      <c r="G38" s="2">
        <f>AVERAGE(Table32[Jil])</f>
        <v>68</v>
      </c>
      <c r="H38" s="2">
        <f>AVERAGE(Table32[NetJSON])</f>
        <v>68.333333333333329</v>
      </c>
      <c r="I38" s="2">
        <f>AVERAGE(Table32[Jackson])</f>
        <v>73.333333333333329</v>
      </c>
      <c r="J38" s="2">
        <f>AVERAGE(Table32[DSL-JSON])</f>
        <v>72.333333333333329</v>
      </c>
      <c r="K38" s="2">
        <f>AVERAGE(Table32[Kryo (binary reference)])</f>
        <v>71.666666666666671</v>
      </c>
      <c r="L38" s="2">
        <f>AVERAGE(Table32[Boon])</f>
        <v>65.333333333333329</v>
      </c>
      <c r="M38" s="2">
        <f>AVERAGE(Table32[Alibaba])</f>
        <v>68.333333333333329</v>
      </c>
      <c r="N38" s="2">
        <f>AVERAGE(Table32[Gson])</f>
        <v>72</v>
      </c>
      <c r="O38" s="2"/>
      <c r="P38" s="2"/>
      <c r="Q38" s="2"/>
    </row>
    <row r="39" spans="2:17" x14ac:dyDescent="0.25">
      <c r="B39" t="s">
        <v>0</v>
      </c>
      <c r="C39" s="2">
        <f>AVERAGE(Table31[Newtonsoft]) - C38</f>
        <v>365.66666666666663</v>
      </c>
      <c r="D39" s="2">
        <f>AVERAGE(Table31[Revenj]) - D38</f>
        <v>151.66666666666666</v>
      </c>
      <c r="E39" s="2">
        <f>AVERAGE(Table31[ProtoBuf (binary reference)]) - E38</f>
        <v>69.666666666666671</v>
      </c>
      <c r="F39" s="2">
        <f>AVERAGE(Table31[Service Stack]) - F38</f>
        <v>335.66666666666663</v>
      </c>
      <c r="G39" s="2">
        <f>AVERAGE(Table31[Jil]) - G38</f>
        <v>248.33333333333331</v>
      </c>
      <c r="H39" s="2">
        <f>AVERAGE(Table31[NetJSON]) - H38</f>
        <v>184.66666666666669</v>
      </c>
      <c r="I39" s="2">
        <f>AVERAGE(Table31[Jackson]) - I38</f>
        <v>160</v>
      </c>
      <c r="J39" s="2">
        <f>AVERAGE(Table31[DSL-JSON]) - J38</f>
        <v>108.33333333333333</v>
      </c>
      <c r="K39" s="2">
        <f>AVERAGE(Table31[Kryo (binary reference)]) - K38</f>
        <v>103.33333333333333</v>
      </c>
      <c r="L39" s="2">
        <f>AVERAGE(Table31[Boon]) - L38</f>
        <v>423</v>
      </c>
      <c r="M39" s="2">
        <f>AVERAGE(Table31[Alibaba]) - M38</f>
        <v>390.33333333333337</v>
      </c>
      <c r="N39" s="2">
        <f>AVERAGE(Table31[Gson]) - N38</f>
        <v>503.66666666666663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597</v>
      </c>
      <c r="D40" s="2">
        <f t="shared" si="0"/>
        <v>132.00000000000003</v>
      </c>
      <c r="E40" s="2">
        <f t="shared" ref="E40" si="1">E41 - E39 - E38</f>
        <v>101.33333333333333</v>
      </c>
      <c r="F40" s="2">
        <f t="shared" si="0"/>
        <v>344.66666666666669</v>
      </c>
      <c r="G40" s="2">
        <f t="shared" si="0"/>
        <v>180.66666666666669</v>
      </c>
      <c r="H40" s="2">
        <f t="shared" si="0"/>
        <v>340.66666666666663</v>
      </c>
      <c r="I40" s="2">
        <f t="shared" ref="I40" si="2">I41 - I39 - I38</f>
        <v>201.66666666666669</v>
      </c>
      <c r="J40" s="2">
        <f t="shared" ref="J40" si="3">J41 - J39 - J38</f>
        <v>103.66666666666667</v>
      </c>
      <c r="K40" s="2">
        <f t="shared" ref="K40:L40" si="4">K41 - K39 - K38</f>
        <v>128.33333333333331</v>
      </c>
      <c r="L40" s="2">
        <f t="shared" si="4"/>
        <v>780.99999999999989</v>
      </c>
      <c r="M40" s="2">
        <f t="shared" ref="M40" si="5">M41 - M39 - M38</f>
        <v>212.33333333333331</v>
      </c>
      <c r="N40" s="2">
        <f t="shared" ref="N40" si="6">N41 - N39 - N38</f>
        <v>309.66666666666674</v>
      </c>
      <c r="O40" s="2"/>
      <c r="P40" s="2"/>
      <c r="Q40" s="2"/>
    </row>
    <row r="41" spans="2:17" x14ac:dyDescent="0.25">
      <c r="B41" t="s">
        <v>23</v>
      </c>
      <c r="C41" s="2">
        <f>AVERAGE(Table33[Newtonsoft])</f>
        <v>1033.3333333333333</v>
      </c>
      <c r="D41" s="2">
        <f>AVERAGE(Table33[Revenj])</f>
        <v>351.66666666666669</v>
      </c>
      <c r="E41" s="2">
        <f>AVERAGE(Table33[ProtoBuf (binary reference)])</f>
        <v>240.66666666666666</v>
      </c>
      <c r="F41" s="2">
        <f>AVERAGE(Table33[Service Stack])</f>
        <v>749</v>
      </c>
      <c r="G41" s="2">
        <f>AVERAGE(Table33[Jil])</f>
        <v>497</v>
      </c>
      <c r="H41" s="2">
        <f>AVERAGE(Table33[NetJSON])</f>
        <v>593.66666666666663</v>
      </c>
      <c r="I41" s="2">
        <f>AVERAGE(Table33[Jackson])</f>
        <v>435</v>
      </c>
      <c r="J41" s="2">
        <f>AVERAGE(Table33[DSL-JSON])</f>
        <v>284.33333333333331</v>
      </c>
      <c r="K41" s="2">
        <f>AVERAGE(Table33[Kryo (binary reference)])</f>
        <v>303.33333333333331</v>
      </c>
      <c r="L41" s="2">
        <f>AVERAGE(Table33[Boon])</f>
        <v>1269.3333333333333</v>
      </c>
      <c r="M41" s="2">
        <f>AVERAGE(Table33[Alibaba])</f>
        <v>671</v>
      </c>
      <c r="N41" s="2">
        <f>AVERAGE(Table33[Gson])</f>
        <v>885.33333333333337</v>
      </c>
      <c r="O41" s="2"/>
      <c r="P41" s="2"/>
      <c r="Q41" s="2"/>
    </row>
    <row r="42" spans="2:17" x14ac:dyDescent="0.25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AVERAGE(Table31[ProtoBuf (size)])</f>
        <v>1658087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3346889</v>
      </c>
      <c r="J42" s="2">
        <f>AVERAGE(Table31[DSL-JSON (size)])</f>
        <v>3346472</v>
      </c>
      <c r="K42" s="2">
        <f>AVERAGE(Table31[Kryo (size)])</f>
        <v>3351895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DEVSQ(Table31[Newtonsoft])</f>
        <v>0.66666666666666674</v>
      </c>
      <c r="D47" s="2">
        <f>DEVSQ(Table31[Revenj])</f>
        <v>0.66666666666666674</v>
      </c>
      <c r="E47" s="2">
        <f>DEVSQ(Table31[ProtoBuf (binary reference)])</f>
        <v>0.66666666666666674</v>
      </c>
      <c r="F47" s="2">
        <f>DEVSQ(Table31[Service Stack])</f>
        <v>4.6666666666666661</v>
      </c>
      <c r="G47" s="2">
        <f>DEVSQ(Table31[Jil])</f>
        <v>44.666666666666671</v>
      </c>
      <c r="H47" s="2">
        <f>DEVSQ(Table31[NetJSON])</f>
        <v>0</v>
      </c>
      <c r="I47" s="2">
        <f>DEVSQ(Table31[Jackson])</f>
        <v>984.66666666666674</v>
      </c>
      <c r="J47" s="2">
        <f>DEVSQ(Table31[DSL-JSON])</f>
        <v>208.66666666666666</v>
      </c>
      <c r="K47" s="2">
        <f>DEVSQ(Table31[Kryo (binary reference)])</f>
        <v>24</v>
      </c>
      <c r="L47" s="2">
        <f>DEVSQ(Table31[Boon])</f>
        <v>284.66666666666663</v>
      </c>
      <c r="M47" s="2">
        <f>DEVSQ(Table31[Alibaba])</f>
        <v>88.666666666666671</v>
      </c>
      <c r="N47" s="2">
        <f>DEVSQ(Table31[Gson])</f>
        <v>68.666666666666657</v>
      </c>
      <c r="O47" s="2"/>
      <c r="P47" s="2"/>
      <c r="Q47" s="2"/>
    </row>
    <row r="48" spans="2:17" x14ac:dyDescent="0.25">
      <c r="B48" t="s">
        <v>23</v>
      </c>
      <c r="C48" s="2">
        <f>DEVSQ(Table33[Newtonsoft])</f>
        <v>4.666666666666667</v>
      </c>
      <c r="D48" s="2">
        <f>DEVSQ(Table33[Revenj])</f>
        <v>18.666666666666668</v>
      </c>
      <c r="E48" s="2">
        <f>DEVSQ(Table33[ProtoBuf (binary reference)])</f>
        <v>42.666666666666671</v>
      </c>
      <c r="F48" s="2">
        <f>DEVSQ(Table33[Service Stack])</f>
        <v>86</v>
      </c>
      <c r="G48" s="2">
        <f>DEVSQ(Table33[Jil])</f>
        <v>14</v>
      </c>
      <c r="H48" s="2">
        <f>DEVSQ(Table33[NetJSON])</f>
        <v>16.666666666666664</v>
      </c>
      <c r="I48" s="2">
        <f>DEVSQ(Table33[Jackson])</f>
        <v>216</v>
      </c>
      <c r="J48" s="2">
        <f>DEVSQ(Table33[DSL-JSON])</f>
        <v>52.666666666666671</v>
      </c>
      <c r="K48" s="2">
        <f>DEVSQ(Table33[Kryo (binary reference)])</f>
        <v>74.666666666666671</v>
      </c>
      <c r="L48" s="2">
        <f>DEVSQ(Table33[Boon])</f>
        <v>578.66666666666674</v>
      </c>
      <c r="M48" s="2">
        <f>DEVSQ(Table33[Alibaba])</f>
        <v>366</v>
      </c>
      <c r="N48" s="2">
        <f>DEVSQ(Table33[Gson])</f>
        <v>3224.666666666667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72</v>
      </c>
      <c r="C52">
        <v>68</v>
      </c>
      <c r="D52">
        <v>70</v>
      </c>
      <c r="E52">
        <v>68</v>
      </c>
      <c r="F52">
        <v>68</v>
      </c>
      <c r="G52">
        <v>68</v>
      </c>
      <c r="H52">
        <v>77</v>
      </c>
      <c r="I52">
        <v>73</v>
      </c>
      <c r="J52">
        <v>69</v>
      </c>
      <c r="K52">
        <v>62</v>
      </c>
      <c r="L52">
        <v>71</v>
      </c>
      <c r="M52">
        <v>73</v>
      </c>
    </row>
    <row r="53" spans="2:25" x14ac:dyDescent="0.25">
      <c r="B53">
        <v>70</v>
      </c>
      <c r="C53">
        <v>68</v>
      </c>
      <c r="D53">
        <v>70</v>
      </c>
      <c r="E53">
        <v>68</v>
      </c>
      <c r="F53">
        <v>68</v>
      </c>
      <c r="G53">
        <v>69</v>
      </c>
      <c r="H53">
        <v>71</v>
      </c>
      <c r="I53">
        <v>71</v>
      </c>
      <c r="J53">
        <v>71</v>
      </c>
      <c r="K53">
        <v>73</v>
      </c>
      <c r="L53">
        <v>72</v>
      </c>
      <c r="M53">
        <v>70</v>
      </c>
    </row>
    <row r="54" spans="2:25" x14ac:dyDescent="0.25">
      <c r="B54">
        <v>70</v>
      </c>
      <c r="C54">
        <v>68</v>
      </c>
      <c r="D54">
        <v>69</v>
      </c>
      <c r="E54">
        <v>70</v>
      </c>
      <c r="F54">
        <v>68</v>
      </c>
      <c r="G54">
        <v>68</v>
      </c>
      <c r="H54">
        <v>72</v>
      </c>
      <c r="I54">
        <v>73</v>
      </c>
      <c r="J54">
        <v>75</v>
      </c>
      <c r="K54">
        <v>61</v>
      </c>
      <c r="L54">
        <v>62</v>
      </c>
      <c r="M54">
        <v>73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436</v>
      </c>
      <c r="C58">
        <v>219</v>
      </c>
      <c r="D58">
        <v>139</v>
      </c>
      <c r="E58">
        <v>404</v>
      </c>
      <c r="F58">
        <v>311</v>
      </c>
      <c r="G58">
        <v>253</v>
      </c>
      <c r="H58">
        <v>258</v>
      </c>
      <c r="I58">
        <v>169</v>
      </c>
      <c r="J58">
        <v>173</v>
      </c>
      <c r="K58">
        <v>502</v>
      </c>
      <c r="L58">
        <v>457</v>
      </c>
      <c r="M58">
        <v>580</v>
      </c>
      <c r="N58">
        <v>3346889</v>
      </c>
      <c r="O58">
        <v>3346472</v>
      </c>
      <c r="P58">
        <v>1658087</v>
      </c>
      <c r="Q58">
        <v>3346489</v>
      </c>
      <c r="R58">
        <v>3346489</v>
      </c>
      <c r="S58">
        <v>3346472</v>
      </c>
      <c r="T58">
        <v>3346889</v>
      </c>
      <c r="U58">
        <v>3346472</v>
      </c>
      <c r="V58">
        <v>3351895</v>
      </c>
      <c r="W58">
        <v>3346875</v>
      </c>
      <c r="X58">
        <v>3346689</v>
      </c>
      <c r="Y58">
        <v>3346889</v>
      </c>
    </row>
    <row r="59" spans="2:25" x14ac:dyDescent="0.25">
      <c r="B59">
        <v>436</v>
      </c>
      <c r="C59">
        <v>220</v>
      </c>
      <c r="D59">
        <v>139</v>
      </c>
      <c r="E59">
        <v>406</v>
      </c>
      <c r="F59">
        <v>320</v>
      </c>
      <c r="G59">
        <v>253</v>
      </c>
      <c r="H59">
        <v>227</v>
      </c>
      <c r="I59">
        <v>185</v>
      </c>
      <c r="J59">
        <v>173</v>
      </c>
      <c r="K59">
        <v>483</v>
      </c>
      <c r="L59">
        <v>453</v>
      </c>
      <c r="M59">
        <v>578</v>
      </c>
      <c r="N59">
        <v>3346889</v>
      </c>
      <c r="O59">
        <v>3346472</v>
      </c>
      <c r="P59">
        <v>1658087</v>
      </c>
      <c r="Q59">
        <v>3346489</v>
      </c>
      <c r="R59">
        <v>3346489</v>
      </c>
      <c r="S59">
        <v>3346472</v>
      </c>
      <c r="T59">
        <v>3346889</v>
      </c>
      <c r="U59">
        <v>3346472</v>
      </c>
      <c r="V59">
        <v>3351895</v>
      </c>
      <c r="W59">
        <v>3346875</v>
      </c>
      <c r="X59">
        <v>3346689</v>
      </c>
      <c r="Y59">
        <v>3346889</v>
      </c>
    </row>
    <row r="60" spans="2:25" x14ac:dyDescent="0.25">
      <c r="B60">
        <v>437</v>
      </c>
      <c r="C60">
        <v>220</v>
      </c>
      <c r="D60">
        <v>140</v>
      </c>
      <c r="E60">
        <v>403</v>
      </c>
      <c r="F60">
        <v>318</v>
      </c>
      <c r="G60">
        <v>253</v>
      </c>
      <c r="H60">
        <v>215</v>
      </c>
      <c r="I60">
        <v>188</v>
      </c>
      <c r="J60">
        <v>179</v>
      </c>
      <c r="K60">
        <v>480</v>
      </c>
      <c r="L60">
        <v>466</v>
      </c>
      <c r="M60">
        <v>569</v>
      </c>
      <c r="N60">
        <v>3346889</v>
      </c>
      <c r="O60">
        <v>3346472</v>
      </c>
      <c r="P60">
        <v>1658087</v>
      </c>
      <c r="Q60">
        <v>3346489</v>
      </c>
      <c r="R60">
        <v>3346489</v>
      </c>
      <c r="S60">
        <v>3346472</v>
      </c>
      <c r="T60">
        <v>3346889</v>
      </c>
      <c r="U60">
        <v>3346472</v>
      </c>
      <c r="V60">
        <v>3351895</v>
      </c>
      <c r="W60">
        <v>3346875</v>
      </c>
      <c r="X60">
        <v>3346689</v>
      </c>
      <c r="Y60">
        <v>3346889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1035</v>
      </c>
      <c r="C64">
        <v>355</v>
      </c>
      <c r="D64">
        <v>238</v>
      </c>
      <c r="E64">
        <v>748</v>
      </c>
      <c r="F64">
        <v>495</v>
      </c>
      <c r="G64">
        <v>592</v>
      </c>
      <c r="H64">
        <v>441</v>
      </c>
      <c r="I64">
        <v>290</v>
      </c>
      <c r="J64">
        <v>302</v>
      </c>
      <c r="K64">
        <v>1276</v>
      </c>
      <c r="L64">
        <v>658</v>
      </c>
      <c r="M64">
        <v>839</v>
      </c>
    </row>
    <row r="65" spans="2:13" x14ac:dyDescent="0.25">
      <c r="B65">
        <v>1032</v>
      </c>
      <c r="C65">
        <v>349</v>
      </c>
      <c r="D65">
        <v>246</v>
      </c>
      <c r="E65">
        <v>743</v>
      </c>
      <c r="F65">
        <v>496</v>
      </c>
      <c r="G65">
        <v>597</v>
      </c>
      <c r="H65">
        <v>423</v>
      </c>
      <c r="I65">
        <v>283</v>
      </c>
      <c r="J65">
        <v>310</v>
      </c>
      <c r="K65">
        <v>1250</v>
      </c>
      <c r="L65">
        <v>685</v>
      </c>
      <c r="M65">
        <v>910</v>
      </c>
    </row>
    <row r="66" spans="2:13" x14ac:dyDescent="0.25">
      <c r="B66">
        <v>1033</v>
      </c>
      <c r="C66">
        <v>351</v>
      </c>
      <c r="D66">
        <v>238</v>
      </c>
      <c r="E66">
        <v>756</v>
      </c>
      <c r="F66">
        <v>500</v>
      </c>
      <c r="G66">
        <v>592</v>
      </c>
      <c r="H66">
        <v>441</v>
      </c>
      <c r="I66">
        <v>280</v>
      </c>
      <c r="J66">
        <v>298</v>
      </c>
      <c r="K66">
        <v>1282</v>
      </c>
      <c r="L66">
        <v>670</v>
      </c>
      <c r="M66">
        <v>907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AVERAGE(Table37[Newtonsoft])</f>
        <v>581.66666666666663</v>
      </c>
      <c r="D38" s="2">
        <f>AVERAGE(Table37[Revenj])</f>
        <v>555.66666666666663</v>
      </c>
      <c r="E38" s="2">
        <f>AVERAGE(Table37[ProtoBuf (binary reference)])</f>
        <v>577</v>
      </c>
      <c r="F38" s="2">
        <f>AVERAGE(Table37[Service Stack])</f>
        <v>556.33333333333337</v>
      </c>
      <c r="G38" s="2">
        <f>AVERAGE(Table37[Jil])</f>
        <v>554</v>
      </c>
      <c r="H38" s="2">
        <f>AVERAGE(Table37[NetJSON])</f>
        <v>561</v>
      </c>
      <c r="I38" s="2">
        <f>AVERAGE(Table37[Jackson])</f>
        <v>346.66666666666669</v>
      </c>
      <c r="J38" s="2">
        <f>AVERAGE(Table37[DSL-JSON])</f>
        <v>345.33333333333331</v>
      </c>
      <c r="K38" s="2">
        <f>AVERAGE(Table37[Kryo (binary reference)])</f>
        <v>344.33333333333331</v>
      </c>
      <c r="L38" s="2">
        <f>AVERAGE(Table37[Boon])</f>
        <v>342</v>
      </c>
      <c r="M38" s="2">
        <f>AVERAGE(Table37[Alibaba])</f>
        <v>357.66666666666669</v>
      </c>
      <c r="N38" s="2">
        <f>AVERAGE(Table37[Gson])</f>
        <v>349.33333333333331</v>
      </c>
      <c r="O38" s="2"/>
      <c r="P38" s="2"/>
      <c r="Q38" s="2"/>
    </row>
    <row r="39" spans="2:17" x14ac:dyDescent="0.25">
      <c r="B39" t="s">
        <v>0</v>
      </c>
      <c r="C39" s="2">
        <f>AVERAGE(Table36[Newtonsoft]) - C38</f>
        <v>3684.3333333333335</v>
      </c>
      <c r="D39" s="2">
        <f>AVERAGE(Table36[Revenj]) - D38</f>
        <v>1515</v>
      </c>
      <c r="E39" s="2">
        <f>AVERAGE(Table36[ProtoBuf (binary reference)]) - E38</f>
        <v>610</v>
      </c>
      <c r="F39" s="2">
        <f>AVERAGE(Table36[Service Stack]) - F38</f>
        <v>3174.333333333333</v>
      </c>
      <c r="G39" s="2">
        <f>AVERAGE(Table36[Jil]) - G38</f>
        <v>2404</v>
      </c>
      <c r="H39" s="2">
        <f>AVERAGE(Table36[NetJSON]) - H38</f>
        <v>1775.6666666666665</v>
      </c>
      <c r="I39" s="2">
        <f>AVERAGE(Table36[Jackson]) - I38</f>
        <v>775.66666666666652</v>
      </c>
      <c r="J39" s="2">
        <f>AVERAGE(Table36[DSL-JSON]) - J38</f>
        <v>470.00000000000006</v>
      </c>
      <c r="K39" s="2">
        <f>AVERAGE(Table36[Kryo (binary reference)]) - K38</f>
        <v>420.00000000000006</v>
      </c>
      <c r="L39" s="2">
        <f>AVERAGE(Table36[Boon]) - L38</f>
        <v>3230</v>
      </c>
      <c r="M39" s="2">
        <f>AVERAGE(Table36[Alibaba]) - M38</f>
        <v>2671.3333333333335</v>
      </c>
      <c r="N39" s="2">
        <f>AVERAGE(Table36[Gson]) - N38</f>
        <v>3776.3333333333335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5935.9999999999991</v>
      </c>
      <c r="D40" s="2">
        <f t="shared" si="0"/>
        <v>1268.3333333333335</v>
      </c>
      <c r="E40" s="2">
        <f t="shared" ref="E40" si="1">E41 - E39 - E38</f>
        <v>969.33333333333348</v>
      </c>
      <c r="F40" s="2">
        <f t="shared" si="0"/>
        <v>3329.3333333333335</v>
      </c>
      <c r="G40" s="2">
        <f t="shared" si="0"/>
        <v>1759.333333333333</v>
      </c>
      <c r="H40" s="2">
        <f t="shared" si="0"/>
        <v>3447.6666666666665</v>
      </c>
      <c r="I40" s="2">
        <f t="shared" ref="I40" si="2">I41 - I39 - I38</f>
        <v>1186.0000000000002</v>
      </c>
      <c r="J40" s="2">
        <f t="shared" ref="J40" si="3">J41 - J39 - J38</f>
        <v>421.66666666666669</v>
      </c>
      <c r="K40" s="2">
        <f t="shared" ref="K40:L40" si="4">K41 - K39 - K38</f>
        <v>514</v>
      </c>
      <c r="L40" s="2">
        <f t="shared" si="4"/>
        <v>6634.6666666666661</v>
      </c>
      <c r="M40" s="2">
        <f t="shared" ref="M40" si="5">M41 - M39 - M38</f>
        <v>1137.9999999999998</v>
      </c>
      <c r="N40" s="2">
        <f t="shared" ref="N40" si="6">N41 - N39 - N38</f>
        <v>1969.6666666666663</v>
      </c>
      <c r="O40" s="2"/>
      <c r="P40" s="2"/>
      <c r="Q40" s="2"/>
    </row>
    <row r="41" spans="2:17" x14ac:dyDescent="0.25">
      <c r="B41" t="s">
        <v>23</v>
      </c>
      <c r="C41" s="2">
        <f>AVERAGE(Table38[Newtonsoft])</f>
        <v>10202</v>
      </c>
      <c r="D41" s="2">
        <f>AVERAGE(Table38[Revenj])</f>
        <v>3339</v>
      </c>
      <c r="E41" s="2">
        <f>AVERAGE(Table38[ProtoBuf (binary reference)])</f>
        <v>2156.3333333333335</v>
      </c>
      <c r="F41" s="2">
        <f>AVERAGE(Table38[Service Stack])</f>
        <v>7060</v>
      </c>
      <c r="G41" s="2">
        <f>AVERAGE(Table38[Jil])</f>
        <v>4717.333333333333</v>
      </c>
      <c r="H41" s="2">
        <f>AVERAGE(Table38[NetJSON])</f>
        <v>5784.333333333333</v>
      </c>
      <c r="I41" s="2">
        <f>AVERAGE(Table38[Jackson])</f>
        <v>2308.3333333333335</v>
      </c>
      <c r="J41" s="2">
        <f>AVERAGE(Table38[DSL-JSON])</f>
        <v>1237</v>
      </c>
      <c r="K41" s="2">
        <f>AVERAGE(Table38[Kryo (binary reference)])</f>
        <v>1278.3333333333333</v>
      </c>
      <c r="L41" s="2">
        <f>AVERAGE(Table38[Boon])</f>
        <v>10206.666666666666</v>
      </c>
      <c r="M41" s="2">
        <f>AVERAGE(Table38[Alibaba])</f>
        <v>4167</v>
      </c>
      <c r="N41" s="2">
        <f>AVERAGE(Table38[Gson])</f>
        <v>6095.333333333333</v>
      </c>
      <c r="O41" s="2"/>
      <c r="P41" s="2"/>
      <c r="Q41" s="2"/>
    </row>
    <row r="42" spans="2:17" x14ac:dyDescent="0.25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AVERAGE(Table36[ProtoBuf (size)])</f>
        <v>16941514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36448889</v>
      </c>
      <c r="J42" s="2">
        <f>AVERAGE(Table36[DSL-JSON (size)])</f>
        <v>36444872</v>
      </c>
      <c r="K42" s="2">
        <f>AVERAGE(Table36[Kryo (size)])</f>
        <v>33922404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DEVSQ(Table36[Newtonsoft])</f>
        <v>8442</v>
      </c>
      <c r="D47" s="2">
        <f>DEVSQ(Table36[Revenj])</f>
        <v>224.66666666666666</v>
      </c>
      <c r="E47" s="2">
        <f>DEVSQ(Table36[ProtoBuf (binary reference)])</f>
        <v>216</v>
      </c>
      <c r="F47" s="2">
        <f>DEVSQ(Table36[Service Stack])</f>
        <v>48.666666666666671</v>
      </c>
      <c r="G47" s="2">
        <f>DEVSQ(Table36[Jil])</f>
        <v>266</v>
      </c>
      <c r="H47" s="2">
        <f>DEVSQ(Table36[NetJSON])</f>
        <v>4.6666666666666661</v>
      </c>
      <c r="I47" s="2">
        <f>DEVSQ(Table36[Jackson])</f>
        <v>2348.666666666667</v>
      </c>
      <c r="J47" s="2">
        <f>DEVSQ(Table36[DSL-JSON])</f>
        <v>242.66666666666669</v>
      </c>
      <c r="K47" s="2">
        <f>DEVSQ(Table36[Kryo (binary reference)])</f>
        <v>330.66666666666669</v>
      </c>
      <c r="L47" s="2">
        <f>DEVSQ(Table36[Boon])</f>
        <v>3614</v>
      </c>
      <c r="M47" s="2">
        <f>DEVSQ(Table36[Alibaba])</f>
        <v>1338</v>
      </c>
      <c r="N47" s="2">
        <f>DEVSQ(Table36[Gson])</f>
        <v>4754.6666666666661</v>
      </c>
      <c r="O47" s="2"/>
      <c r="P47" s="2"/>
      <c r="Q47" s="2"/>
    </row>
    <row r="48" spans="2:17" x14ac:dyDescent="0.25">
      <c r="B48" t="s">
        <v>23</v>
      </c>
      <c r="C48" s="2">
        <f>DEVSQ(Table38[Newtonsoft])</f>
        <v>1086</v>
      </c>
      <c r="D48" s="2">
        <f>DEVSQ(Table38[Revenj])</f>
        <v>158</v>
      </c>
      <c r="E48" s="2">
        <f>DEVSQ(Table38[ProtoBuf (binary reference)])</f>
        <v>40.666666666666671</v>
      </c>
      <c r="F48" s="2">
        <f>DEVSQ(Table38[Service Stack])</f>
        <v>114</v>
      </c>
      <c r="G48" s="2">
        <f>DEVSQ(Table38[Jil])</f>
        <v>4764.6666666666661</v>
      </c>
      <c r="H48" s="2">
        <f>DEVSQ(Table38[NetJSON])</f>
        <v>412.66666666666669</v>
      </c>
      <c r="I48" s="2">
        <f>DEVSQ(Table38[Jackson])</f>
        <v>6164.666666666667</v>
      </c>
      <c r="J48" s="2">
        <f>DEVSQ(Table38[DSL-JSON])</f>
        <v>5246</v>
      </c>
      <c r="K48" s="2">
        <f>DEVSQ(Table38[Kryo (binary reference)])</f>
        <v>6580.666666666667</v>
      </c>
      <c r="L48" s="2">
        <f>DEVSQ(Table38[Boon])</f>
        <v>300920.66666666663</v>
      </c>
      <c r="M48" s="2">
        <f>DEVSQ(Table38[Alibaba])</f>
        <v>438</v>
      </c>
      <c r="N48" s="2">
        <f>DEVSQ(Table38[Gson])</f>
        <v>122028.66666666667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581</v>
      </c>
      <c r="C52">
        <v>556</v>
      </c>
      <c r="D52">
        <v>576</v>
      </c>
      <c r="E52">
        <v>556</v>
      </c>
      <c r="F52">
        <v>555</v>
      </c>
      <c r="G52">
        <v>565</v>
      </c>
      <c r="H52">
        <v>352</v>
      </c>
      <c r="I52">
        <v>347</v>
      </c>
      <c r="J52">
        <v>347</v>
      </c>
      <c r="K52">
        <v>343</v>
      </c>
      <c r="L52">
        <v>386</v>
      </c>
      <c r="M52">
        <v>344</v>
      </c>
    </row>
    <row r="53" spans="2:25" x14ac:dyDescent="0.25">
      <c r="B53">
        <v>580</v>
      </c>
      <c r="C53">
        <v>556</v>
      </c>
      <c r="D53">
        <v>579</v>
      </c>
      <c r="E53">
        <v>555</v>
      </c>
      <c r="F53">
        <v>554</v>
      </c>
      <c r="G53">
        <v>558</v>
      </c>
      <c r="H53">
        <v>345</v>
      </c>
      <c r="I53">
        <v>346</v>
      </c>
      <c r="J53">
        <v>345</v>
      </c>
      <c r="K53">
        <v>342</v>
      </c>
      <c r="L53">
        <v>346</v>
      </c>
      <c r="M53">
        <v>360</v>
      </c>
    </row>
    <row r="54" spans="2:25" x14ac:dyDescent="0.25">
      <c r="B54">
        <v>584</v>
      </c>
      <c r="C54">
        <v>555</v>
      </c>
      <c r="D54">
        <v>576</v>
      </c>
      <c r="E54">
        <v>558</v>
      </c>
      <c r="F54">
        <v>553</v>
      </c>
      <c r="G54">
        <v>560</v>
      </c>
      <c r="H54">
        <v>343</v>
      </c>
      <c r="I54">
        <v>343</v>
      </c>
      <c r="J54">
        <v>341</v>
      </c>
      <c r="K54">
        <v>341</v>
      </c>
      <c r="L54">
        <v>341</v>
      </c>
      <c r="M54">
        <v>344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4227</v>
      </c>
      <c r="C58">
        <v>2061</v>
      </c>
      <c r="D58">
        <v>1181</v>
      </c>
      <c r="E58">
        <v>3734</v>
      </c>
      <c r="F58">
        <v>2971</v>
      </c>
      <c r="G58">
        <v>2337</v>
      </c>
      <c r="H58">
        <v>1160</v>
      </c>
      <c r="I58">
        <v>826</v>
      </c>
      <c r="J58">
        <v>779</v>
      </c>
      <c r="K58">
        <v>3529</v>
      </c>
      <c r="L58">
        <v>3057</v>
      </c>
      <c r="M58">
        <v>4181</v>
      </c>
      <c r="N58">
        <v>36448889</v>
      </c>
      <c r="O58">
        <v>36444872</v>
      </c>
      <c r="P58">
        <v>16941514</v>
      </c>
      <c r="Q58">
        <v>36444889</v>
      </c>
      <c r="R58">
        <v>36444889</v>
      </c>
      <c r="S58">
        <v>36444872</v>
      </c>
      <c r="T58">
        <v>36448889</v>
      </c>
      <c r="U58">
        <v>36444872</v>
      </c>
      <c r="V58">
        <v>33922404</v>
      </c>
      <c r="W58">
        <v>36448875</v>
      </c>
      <c r="X58">
        <v>36446889</v>
      </c>
      <c r="Y58">
        <v>36448889</v>
      </c>
    </row>
    <row r="59" spans="2:25" x14ac:dyDescent="0.25">
      <c r="B59">
        <v>4341</v>
      </c>
      <c r="C59">
        <v>2069</v>
      </c>
      <c r="D59">
        <v>1199</v>
      </c>
      <c r="E59">
        <v>3733</v>
      </c>
      <c r="F59">
        <v>2949</v>
      </c>
      <c r="G59">
        <v>2338</v>
      </c>
      <c r="H59">
        <v>1114</v>
      </c>
      <c r="I59">
        <v>816</v>
      </c>
      <c r="J59">
        <v>755</v>
      </c>
      <c r="K59">
        <v>3573</v>
      </c>
      <c r="L59">
        <v>3024</v>
      </c>
      <c r="M59">
        <v>4107</v>
      </c>
      <c r="N59">
        <v>36448889</v>
      </c>
      <c r="O59">
        <v>36444872</v>
      </c>
      <c r="P59">
        <v>16941514</v>
      </c>
      <c r="Q59">
        <v>36444889</v>
      </c>
      <c r="R59">
        <v>36444889</v>
      </c>
      <c r="S59">
        <v>36444872</v>
      </c>
      <c r="T59">
        <v>36448889</v>
      </c>
      <c r="U59">
        <v>36444872</v>
      </c>
      <c r="V59">
        <v>33922404</v>
      </c>
      <c r="W59">
        <v>36448875</v>
      </c>
      <c r="X59">
        <v>36446889</v>
      </c>
      <c r="Y59">
        <v>36448889</v>
      </c>
    </row>
    <row r="60" spans="2:25" x14ac:dyDescent="0.25">
      <c r="B60">
        <v>4230</v>
      </c>
      <c r="C60">
        <v>2082</v>
      </c>
      <c r="D60">
        <v>1181</v>
      </c>
      <c r="E60">
        <v>3725</v>
      </c>
      <c r="F60">
        <v>2954</v>
      </c>
      <c r="G60">
        <v>2335</v>
      </c>
      <c r="H60">
        <v>1093</v>
      </c>
      <c r="I60">
        <v>804</v>
      </c>
      <c r="J60">
        <v>759</v>
      </c>
      <c r="K60">
        <v>3614</v>
      </c>
      <c r="L60">
        <v>3006</v>
      </c>
      <c r="M60">
        <v>4089</v>
      </c>
      <c r="N60">
        <v>36448889</v>
      </c>
      <c r="O60">
        <v>36444872</v>
      </c>
      <c r="P60">
        <v>16941514</v>
      </c>
      <c r="Q60">
        <v>36444889</v>
      </c>
      <c r="R60">
        <v>36444889</v>
      </c>
      <c r="S60">
        <v>36444872</v>
      </c>
      <c r="T60">
        <v>36448889</v>
      </c>
      <c r="U60">
        <v>36444872</v>
      </c>
      <c r="V60">
        <v>33922404</v>
      </c>
      <c r="W60">
        <v>36448875</v>
      </c>
      <c r="X60">
        <v>36446889</v>
      </c>
      <c r="Y60">
        <v>36448889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10209</v>
      </c>
      <c r="C64">
        <v>3349</v>
      </c>
      <c r="D64">
        <v>2161</v>
      </c>
      <c r="E64">
        <v>7059</v>
      </c>
      <c r="F64">
        <v>4744</v>
      </c>
      <c r="G64">
        <v>5768</v>
      </c>
      <c r="H64">
        <v>2372</v>
      </c>
      <c r="I64">
        <v>1178</v>
      </c>
      <c r="J64">
        <v>1238</v>
      </c>
      <c r="K64">
        <v>10617</v>
      </c>
      <c r="L64">
        <v>4177</v>
      </c>
      <c r="M64">
        <v>6341</v>
      </c>
    </row>
    <row r="65" spans="2:13" x14ac:dyDescent="0.25">
      <c r="B65">
        <v>10221</v>
      </c>
      <c r="C65">
        <v>3336</v>
      </c>
      <c r="D65">
        <v>2156</v>
      </c>
      <c r="E65">
        <v>7068</v>
      </c>
      <c r="F65">
        <v>4661</v>
      </c>
      <c r="G65">
        <v>5795</v>
      </c>
      <c r="H65">
        <v>2270</v>
      </c>
      <c r="I65">
        <v>1263</v>
      </c>
      <c r="J65">
        <v>1344</v>
      </c>
      <c r="K65">
        <v>9846</v>
      </c>
      <c r="L65">
        <v>4150</v>
      </c>
      <c r="M65">
        <v>5847</v>
      </c>
    </row>
    <row r="66" spans="2:13" x14ac:dyDescent="0.25">
      <c r="B66">
        <v>10176</v>
      </c>
      <c r="C66">
        <v>3332</v>
      </c>
      <c r="D66">
        <v>2152</v>
      </c>
      <c r="E66">
        <v>7053</v>
      </c>
      <c r="F66">
        <v>4747</v>
      </c>
      <c r="G66">
        <v>5790</v>
      </c>
      <c r="H66">
        <v>2283</v>
      </c>
      <c r="I66">
        <v>1270</v>
      </c>
      <c r="J66">
        <v>1253</v>
      </c>
      <c r="K66">
        <v>10157</v>
      </c>
      <c r="L66">
        <v>4174</v>
      </c>
      <c r="M66">
        <v>6098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AVERAGE(Table42[Newtonsoft])</f>
        <v>5695.666666666667</v>
      </c>
      <c r="D38" s="2">
        <f>AVERAGE(Table42[Revenj])</f>
        <v>5506.666666666667</v>
      </c>
      <c r="E38" s="2">
        <f>AVERAGE(Table42[ProtoBuf (binary reference)])</f>
        <v>5616.666666666667</v>
      </c>
      <c r="F38" s="2">
        <f>AVERAGE(Table42[Service Stack])</f>
        <v>5438.666666666667</v>
      </c>
      <c r="G38" s="2">
        <f>AVERAGE(Table42[Jil])</f>
        <v>5443</v>
      </c>
      <c r="H38" s="2">
        <f>AVERAGE(Table42[NetJSON])</f>
        <v>5519.333333333333</v>
      </c>
      <c r="I38" s="2">
        <f>AVERAGE(Table42[Jackson])</f>
        <v>3439.3333333333335</v>
      </c>
      <c r="J38" s="2">
        <f>AVERAGE(Table42[DSL-JSON])</f>
        <v>3350.6666666666665</v>
      </c>
      <c r="K38" s="2">
        <f>AVERAGE(Table42[Kryo (binary reference)])</f>
        <v>3351</v>
      </c>
      <c r="L38" s="2">
        <f>AVERAGE(Table42[Boon])</f>
        <v>3350.6666666666665</v>
      </c>
      <c r="M38" s="2">
        <f>AVERAGE(Table42[Alibaba])</f>
        <v>3380</v>
      </c>
      <c r="N38" s="2">
        <f>AVERAGE(Table42[Gson])</f>
        <v>3400</v>
      </c>
      <c r="O38" s="2"/>
      <c r="P38" s="2"/>
      <c r="Q38" s="2"/>
    </row>
    <row r="39" spans="2:17" x14ac:dyDescent="0.25">
      <c r="B39" t="s">
        <v>0</v>
      </c>
      <c r="C39" s="2">
        <f>AVERAGE(Table41[Newtonsoft]) - C38</f>
        <v>36637.333333333336</v>
      </c>
      <c r="D39" s="2">
        <f>AVERAGE(Table41[Revenj]) - D38</f>
        <v>15503.666666666664</v>
      </c>
      <c r="E39" s="2">
        <f>AVERAGE(Table41[ProtoBuf (binary reference)]) - E38</f>
        <v>6171.9999999999991</v>
      </c>
      <c r="F39" s="2">
        <f>AVERAGE(Table41[Service Stack]) - F38</f>
        <v>31781.999999999996</v>
      </c>
      <c r="G39" s="2">
        <f>AVERAGE(Table41[Jil]) - G38</f>
        <v>24612.666666666668</v>
      </c>
      <c r="H39" s="2">
        <f>AVERAGE(Table41[NetJSON]) - H38</f>
        <v>17795.333333333336</v>
      </c>
      <c r="I39" s="2">
        <f>AVERAGE(Table41[Jackson]) - I38</f>
        <v>7207</v>
      </c>
      <c r="J39" s="2">
        <f>AVERAGE(Table41[DSL-JSON]) - J38</f>
        <v>4393.6666666666661</v>
      </c>
      <c r="K39" s="2">
        <f>AVERAGE(Table41[Kryo (binary reference)]) - K38</f>
        <v>3515</v>
      </c>
      <c r="L39" s="2">
        <f>AVERAGE(Table41[Boon]) - L38</f>
        <v>31750.333333333332</v>
      </c>
      <c r="M39" s="2">
        <f>AVERAGE(Table41[Alibaba]) - M38</f>
        <v>26472</v>
      </c>
      <c r="N39" s="2">
        <f>AVERAGE(Table41[Gson]) - N38</f>
        <v>37643.666666666664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59790.666666666672</v>
      </c>
      <c r="D40" s="2">
        <f t="shared" si="0"/>
        <v>12721.000000000004</v>
      </c>
      <c r="E40" s="2">
        <f t="shared" ref="E40" si="1">E41 - E39 - E38</f>
        <v>9295.3333333333321</v>
      </c>
      <c r="F40" s="2">
        <f t="shared" si="0"/>
        <v>33999.333333333336</v>
      </c>
      <c r="G40" s="2">
        <f t="shared" si="0"/>
        <v>18035.666666666668</v>
      </c>
      <c r="H40" s="2">
        <f t="shared" si="0"/>
        <v>33966.666666666664</v>
      </c>
      <c r="I40" s="2">
        <f t="shared" ref="I40" si="2">I41 - I39 - I38</f>
        <v>11405.333333333334</v>
      </c>
      <c r="J40" s="2">
        <f t="shared" ref="J40" si="3">J41 - J39 - J38</f>
        <v>3950.3333333333335</v>
      </c>
      <c r="K40" s="2">
        <f t="shared" ref="K40:L40" si="4">K41 - K39 - K38</f>
        <v>4620.3333333333339</v>
      </c>
      <c r="L40" s="2">
        <f t="shared" si="4"/>
        <v>63925.333333333336</v>
      </c>
      <c r="M40" s="2">
        <f t="shared" ref="M40" si="5">M41 - M39 - M38</f>
        <v>12235</v>
      </c>
      <c r="N40" s="2">
        <f t="shared" ref="N40" si="6">N41 - N39 - N38</f>
        <v>20502.333333333336</v>
      </c>
      <c r="O40" s="2"/>
      <c r="P40" s="2"/>
      <c r="Q40" s="2"/>
    </row>
    <row r="41" spans="2:17" x14ac:dyDescent="0.25">
      <c r="B41" t="s">
        <v>23</v>
      </c>
      <c r="C41" s="2">
        <f>AVERAGE(Table43[Newtonsoft])</f>
        <v>102123.66666666667</v>
      </c>
      <c r="D41" s="2">
        <f>AVERAGE(Table43[Revenj])</f>
        <v>33731.333333333336</v>
      </c>
      <c r="E41" s="2">
        <f>AVERAGE(Table43[ProtoBuf (binary reference)])</f>
        <v>21084</v>
      </c>
      <c r="F41" s="2">
        <f>AVERAGE(Table43[Service Stack])</f>
        <v>71220</v>
      </c>
      <c r="G41" s="2">
        <f>AVERAGE(Table43[Jil])</f>
        <v>48091.333333333336</v>
      </c>
      <c r="H41" s="2">
        <f>AVERAGE(Table43[NetJSON])</f>
        <v>57281.333333333336</v>
      </c>
      <c r="I41" s="2">
        <f>AVERAGE(Table43[Jackson])</f>
        <v>22051.666666666668</v>
      </c>
      <c r="J41" s="2">
        <f>AVERAGE(Table43[DSL-JSON])</f>
        <v>11694.666666666666</v>
      </c>
      <c r="K41" s="2">
        <f>AVERAGE(Table43[Kryo (binary reference)])</f>
        <v>11486.333333333334</v>
      </c>
      <c r="L41" s="2">
        <f>AVERAGE(Table43[Boon])</f>
        <v>99026.333333333328</v>
      </c>
      <c r="M41" s="2">
        <f>AVERAGE(Table43[Alibaba])</f>
        <v>42087</v>
      </c>
      <c r="N41" s="2">
        <f>AVERAGE(Table43[Gson])</f>
        <v>61546</v>
      </c>
      <c r="O41" s="2"/>
      <c r="P41" s="2"/>
      <c r="Q41" s="2"/>
    </row>
    <row r="42" spans="2:17" x14ac:dyDescent="0.25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AVERAGE(Table41[ProtoBuf (size)])</f>
        <v>184924181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394468889</v>
      </c>
      <c r="J42" s="2">
        <f>AVERAGE(Table41[DSL-JSON (size)])</f>
        <v>394428872</v>
      </c>
      <c r="K42" s="2">
        <f>AVERAGE(Table41[Kryo (size)])</f>
        <v>350301313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DEVSQ(Table41[Newtonsoft])</f>
        <v>34058</v>
      </c>
      <c r="D47" s="2">
        <f>DEVSQ(Table41[Revenj])</f>
        <v>5968.666666666667</v>
      </c>
      <c r="E47" s="2">
        <f>DEVSQ(Table41[ProtoBuf (binary reference)])</f>
        <v>0.66666666666666674</v>
      </c>
      <c r="F47" s="2">
        <f>DEVSQ(Table41[Service Stack])</f>
        <v>154690.66666666666</v>
      </c>
      <c r="G47" s="2">
        <f>DEVSQ(Table41[Jil])</f>
        <v>493898.66666666663</v>
      </c>
      <c r="H47" s="2">
        <f>DEVSQ(Table41[NetJSON])</f>
        <v>4240.666666666667</v>
      </c>
      <c r="I47" s="2">
        <f>DEVSQ(Table41[Jackson])</f>
        <v>360832.66666666663</v>
      </c>
      <c r="J47" s="2">
        <f>DEVSQ(Table41[DSL-JSON])</f>
        <v>130568.66666666667</v>
      </c>
      <c r="K47" s="2">
        <f>DEVSQ(Table41[Kryo (binary reference)])</f>
        <v>84914</v>
      </c>
      <c r="L47" s="2">
        <f>DEVSQ(Table41[Boon])</f>
        <v>32562</v>
      </c>
      <c r="M47" s="2">
        <f>DEVSQ(Table41[Alibaba])</f>
        <v>120542</v>
      </c>
      <c r="N47" s="2">
        <f>DEVSQ(Table41[Gson])</f>
        <v>4497800.666666666</v>
      </c>
      <c r="O47" s="2"/>
      <c r="P47" s="2"/>
      <c r="Q47" s="2"/>
    </row>
    <row r="48" spans="2:17" x14ac:dyDescent="0.25">
      <c r="B48" t="s">
        <v>23</v>
      </c>
      <c r="C48" s="2">
        <f>DEVSQ(Table43[Newtonsoft])</f>
        <v>632600.66666666674</v>
      </c>
      <c r="D48" s="2">
        <f>DEVSQ(Table43[Revenj])</f>
        <v>5714.6666666666661</v>
      </c>
      <c r="E48" s="2">
        <f>DEVSQ(Table43[ProtoBuf (binary reference)])</f>
        <v>2666</v>
      </c>
      <c r="F48" s="2">
        <f>DEVSQ(Table43[Service Stack])</f>
        <v>97664</v>
      </c>
      <c r="G48" s="2">
        <f>DEVSQ(Table43[Jil])</f>
        <v>296584.66666666669</v>
      </c>
      <c r="H48" s="2">
        <f>DEVSQ(Table43[NetJSON])</f>
        <v>19012.666666666668</v>
      </c>
      <c r="I48" s="2">
        <f>DEVSQ(Table43[Jackson])</f>
        <v>2862348.666666667</v>
      </c>
      <c r="J48" s="2">
        <f>DEVSQ(Table43[DSL-JSON])</f>
        <v>683012.66666666663</v>
      </c>
      <c r="K48" s="2">
        <f>DEVSQ(Table43[Kryo (binary reference)])</f>
        <v>1087800.6666666667</v>
      </c>
      <c r="L48" s="2">
        <f>DEVSQ(Table43[Boon])</f>
        <v>5006328.666666667</v>
      </c>
      <c r="M48" s="2">
        <f>DEVSQ(Table43[Alibaba])</f>
        <v>14339144</v>
      </c>
      <c r="N48" s="2">
        <f>DEVSQ(Table43[Gson])</f>
        <v>712064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5690</v>
      </c>
      <c r="C52">
        <v>5500</v>
      </c>
      <c r="D52">
        <v>5626</v>
      </c>
      <c r="E52">
        <v>5451</v>
      </c>
      <c r="F52">
        <v>5446</v>
      </c>
      <c r="G52">
        <v>5504</v>
      </c>
      <c r="H52">
        <v>3426</v>
      </c>
      <c r="I52">
        <v>3359</v>
      </c>
      <c r="J52">
        <v>3369</v>
      </c>
      <c r="K52">
        <v>3346</v>
      </c>
      <c r="L52">
        <v>3370</v>
      </c>
      <c r="M52">
        <v>3335</v>
      </c>
    </row>
    <row r="53" spans="2:25" x14ac:dyDescent="0.25">
      <c r="B53">
        <v>5683</v>
      </c>
      <c r="C53">
        <v>5510</v>
      </c>
      <c r="D53">
        <v>5630</v>
      </c>
      <c r="E53">
        <v>5434</v>
      </c>
      <c r="F53">
        <v>5457</v>
      </c>
      <c r="G53">
        <v>5543</v>
      </c>
      <c r="H53">
        <v>3450</v>
      </c>
      <c r="I53">
        <v>3347</v>
      </c>
      <c r="J53">
        <v>3341</v>
      </c>
      <c r="K53">
        <v>3361</v>
      </c>
      <c r="L53">
        <v>3431</v>
      </c>
      <c r="M53">
        <v>3512</v>
      </c>
    </row>
    <row r="54" spans="2:25" x14ac:dyDescent="0.25">
      <c r="B54">
        <v>5714</v>
      </c>
      <c r="C54">
        <v>5510</v>
      </c>
      <c r="D54">
        <v>5594</v>
      </c>
      <c r="E54">
        <v>5431</v>
      </c>
      <c r="F54">
        <v>5426</v>
      </c>
      <c r="G54">
        <v>5511</v>
      </c>
      <c r="H54">
        <v>3442</v>
      </c>
      <c r="I54">
        <v>3346</v>
      </c>
      <c r="J54">
        <v>3343</v>
      </c>
      <c r="K54">
        <v>3345</v>
      </c>
      <c r="L54">
        <v>3339</v>
      </c>
      <c r="M54">
        <v>3353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42296</v>
      </c>
      <c r="C58">
        <v>21072</v>
      </c>
      <c r="D58">
        <v>11789</v>
      </c>
      <c r="E58">
        <v>37512</v>
      </c>
      <c r="F58">
        <v>29709</v>
      </c>
      <c r="G58">
        <v>23301</v>
      </c>
      <c r="H58">
        <v>10684</v>
      </c>
      <c r="I58">
        <v>7637</v>
      </c>
      <c r="J58">
        <v>7059</v>
      </c>
      <c r="K58">
        <v>35146</v>
      </c>
      <c r="L58">
        <v>30098</v>
      </c>
      <c r="M58">
        <v>40704</v>
      </c>
      <c r="N58">
        <v>394468889</v>
      </c>
      <c r="O58">
        <v>394428872</v>
      </c>
      <c r="P58">
        <v>184924181</v>
      </c>
      <c r="Q58">
        <v>394428889</v>
      </c>
      <c r="R58">
        <v>394428889</v>
      </c>
      <c r="S58">
        <v>394428872</v>
      </c>
      <c r="T58">
        <v>394468889</v>
      </c>
      <c r="U58">
        <v>394428872</v>
      </c>
      <c r="V58">
        <v>350301313</v>
      </c>
      <c r="W58">
        <v>394468875</v>
      </c>
      <c r="X58">
        <v>394448889</v>
      </c>
      <c r="Y58">
        <v>394468889</v>
      </c>
    </row>
    <row r="59" spans="2:25" x14ac:dyDescent="0.25">
      <c r="B59">
        <v>42478</v>
      </c>
      <c r="C59">
        <v>20968</v>
      </c>
      <c r="D59">
        <v>11789</v>
      </c>
      <c r="E59">
        <v>37192</v>
      </c>
      <c r="F59">
        <v>29833</v>
      </c>
      <c r="G59">
        <v>23366</v>
      </c>
      <c r="H59">
        <v>10204</v>
      </c>
      <c r="I59">
        <v>8036</v>
      </c>
      <c r="J59">
        <v>6649</v>
      </c>
      <c r="K59">
        <v>35200</v>
      </c>
      <c r="L59">
        <v>29607</v>
      </c>
      <c r="M59">
        <v>42684</v>
      </c>
      <c r="N59">
        <v>394468889</v>
      </c>
      <c r="O59">
        <v>394428872</v>
      </c>
      <c r="P59">
        <v>184924181</v>
      </c>
      <c r="Q59">
        <v>394428889</v>
      </c>
      <c r="R59">
        <v>394428889</v>
      </c>
      <c r="S59">
        <v>394428872</v>
      </c>
      <c r="T59">
        <v>394468889</v>
      </c>
      <c r="U59">
        <v>394428872</v>
      </c>
      <c r="V59">
        <v>350301313</v>
      </c>
      <c r="W59">
        <v>394468875</v>
      </c>
      <c r="X59">
        <v>394448889</v>
      </c>
      <c r="Y59">
        <v>394468889</v>
      </c>
    </row>
    <row r="60" spans="2:25" x14ac:dyDescent="0.25">
      <c r="B60">
        <v>42225</v>
      </c>
      <c r="C60">
        <v>20991</v>
      </c>
      <c r="D60">
        <v>11788</v>
      </c>
      <c r="E60">
        <v>36958</v>
      </c>
      <c r="F60">
        <v>30625</v>
      </c>
      <c r="G60">
        <v>23277</v>
      </c>
      <c r="H60">
        <v>11051</v>
      </c>
      <c r="I60">
        <v>7560</v>
      </c>
      <c r="J60">
        <v>6890</v>
      </c>
      <c r="K60">
        <v>34957</v>
      </c>
      <c r="L60">
        <v>29851</v>
      </c>
      <c r="M60">
        <v>39743</v>
      </c>
      <c r="N60">
        <v>394468889</v>
      </c>
      <c r="O60">
        <v>394428872</v>
      </c>
      <c r="P60">
        <v>184924181</v>
      </c>
      <c r="Q60">
        <v>394428889</v>
      </c>
      <c r="R60">
        <v>394428889</v>
      </c>
      <c r="S60">
        <v>394428872</v>
      </c>
      <c r="T60">
        <v>394468889</v>
      </c>
      <c r="U60">
        <v>394428872</v>
      </c>
      <c r="V60">
        <v>350301313</v>
      </c>
      <c r="W60">
        <v>394468875</v>
      </c>
      <c r="X60">
        <v>394448889</v>
      </c>
      <c r="Y60">
        <v>394468889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102099</v>
      </c>
      <c r="C64">
        <v>33756</v>
      </c>
      <c r="D64">
        <v>21113</v>
      </c>
      <c r="E64">
        <v>71044</v>
      </c>
      <c r="F64">
        <v>48051</v>
      </c>
      <c r="G64">
        <v>57389</v>
      </c>
      <c r="H64">
        <v>21850</v>
      </c>
      <c r="I64">
        <v>11211</v>
      </c>
      <c r="J64">
        <v>10919</v>
      </c>
      <c r="K64">
        <v>97883</v>
      </c>
      <c r="L64">
        <v>45001</v>
      </c>
      <c r="M64">
        <v>61170</v>
      </c>
    </row>
    <row r="65" spans="2:13" x14ac:dyDescent="0.25">
      <c r="B65">
        <v>101574</v>
      </c>
      <c r="C65">
        <v>33768</v>
      </c>
      <c r="D65">
        <v>21096</v>
      </c>
      <c r="E65">
        <v>71148</v>
      </c>
      <c r="F65">
        <v>47728</v>
      </c>
      <c r="G65">
        <v>57256</v>
      </c>
      <c r="H65">
        <v>23336</v>
      </c>
      <c r="I65">
        <v>11529</v>
      </c>
      <c r="J65">
        <v>11220</v>
      </c>
      <c r="K65">
        <v>100832</v>
      </c>
      <c r="L65">
        <v>39735</v>
      </c>
      <c r="M65">
        <v>61234</v>
      </c>
    </row>
    <row r="66" spans="2:13" x14ac:dyDescent="0.25">
      <c r="B66">
        <v>102698</v>
      </c>
      <c r="C66">
        <v>33670</v>
      </c>
      <c r="D66">
        <v>21043</v>
      </c>
      <c r="E66">
        <v>71468</v>
      </c>
      <c r="F66">
        <v>48495</v>
      </c>
      <c r="G66">
        <v>57199</v>
      </c>
      <c r="H66">
        <v>20969</v>
      </c>
      <c r="I66">
        <v>12344</v>
      </c>
      <c r="J66">
        <v>12320</v>
      </c>
      <c r="K66">
        <v>98364</v>
      </c>
      <c r="L66">
        <v>41525</v>
      </c>
      <c r="M66">
        <v>62234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AVERAGE(Table47[Newtonsoft])</f>
        <v>100.33333333333333</v>
      </c>
      <c r="D38" s="2">
        <f>AVERAGE(Table47[Revenj])</f>
        <v>98.333333333333329</v>
      </c>
      <c r="E38" s="2">
        <f>AVERAGE(Table47[ProtoBuf (binary reference)])</f>
        <v>95.333333333333329</v>
      </c>
      <c r="F38" s="2">
        <f>AVERAGE(Table47[Service Stack])</f>
        <v>94.666666666666671</v>
      </c>
      <c r="G38" s="2">
        <f>AVERAGE(Table47[Jil])</f>
        <v>95.666666666666671</v>
      </c>
      <c r="H38" s="2">
        <f>AVERAGE(Table47[NetJSON])</f>
        <v>97</v>
      </c>
      <c r="I38" s="2">
        <f>AVERAGE(Table47[Jackson])</f>
        <v>218</v>
      </c>
      <c r="J38" s="2">
        <f>AVERAGE(Table47[DSL-JSON])</f>
        <v>219.66666666666666</v>
      </c>
      <c r="K38" s="2">
        <f>AVERAGE(Table47[Kryo (binary reference)])</f>
        <v>224.66666666666666</v>
      </c>
      <c r="L38" s="2">
        <f>AVERAGE(Table47[Boon])</f>
        <v>229</v>
      </c>
      <c r="M38" s="2">
        <f>AVERAGE(Table47[Alibaba])</f>
        <v>213.66666666666666</v>
      </c>
      <c r="N38" s="2">
        <f>AVERAGE(Table47[Gson])</f>
        <v>229</v>
      </c>
      <c r="O38" s="2"/>
      <c r="P38" s="2"/>
      <c r="Q38" s="2"/>
    </row>
    <row r="39" spans="2:17" x14ac:dyDescent="0.25">
      <c r="B39" t="s">
        <v>0</v>
      </c>
      <c r="C39" s="2">
        <f>AVERAGE(Table46[Newtonsoft]) - C38</f>
        <v>314</v>
      </c>
      <c r="D39" s="2">
        <f>AVERAGE(Table46[Revenj]) - D38</f>
        <v>101.66666666666667</v>
      </c>
      <c r="E39" s="2">
        <f>AVERAGE(Table46[ProtoBuf (binary reference)]) - E38</f>
        <v>94.333333333333329</v>
      </c>
      <c r="F39" s="2">
        <f>AVERAGE(Table46[Service Stack]) - F38</f>
        <v>321</v>
      </c>
      <c r="G39" s="2">
        <f>AVERAGE(Table46[Jil]) - G38</f>
        <v>227</v>
      </c>
      <c r="H39" s="2">
        <f>AVERAGE(Table46[NetJSON]) - H38</f>
        <v>212.66666666666669</v>
      </c>
      <c r="I39" s="2">
        <f>AVERAGE(Table46[Jackson]) - I38</f>
        <v>210.33333333333331</v>
      </c>
      <c r="J39" s="2">
        <f>AVERAGE(Table46[DSL-JSON]) - J38</f>
        <v>140.00000000000003</v>
      </c>
      <c r="K39" s="2">
        <f>AVERAGE(Table46[Kryo (binary reference)]) - K38</f>
        <v>114.33333333333334</v>
      </c>
      <c r="L39" s="2">
        <f>AVERAGE(Table46[Boon]) - L38</f>
        <v>537</v>
      </c>
      <c r="M39" s="4">
        <f>AVERAGE(Table46[Alibaba]) - M38</f>
        <v>688.33333333333337</v>
      </c>
      <c r="N39" s="2">
        <f>AVERAGE(Table46[Gson]) - N38</f>
        <v>760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820.33333333333337</v>
      </c>
      <c r="D40" s="2">
        <f t="shared" si="0"/>
        <v>188.33333333333331</v>
      </c>
      <c r="E40" s="2">
        <f t="shared" ref="E40" si="1">E41 - E39 - E38</f>
        <v>175.33333333333337</v>
      </c>
      <c r="F40" s="2">
        <f t="shared" si="0"/>
        <v>622.33333333333337</v>
      </c>
      <c r="G40" s="2">
        <f t="shared" si="0"/>
        <v>356.33333333333331</v>
      </c>
      <c r="H40" s="2">
        <f t="shared" si="0"/>
        <v>878</v>
      </c>
      <c r="I40" s="2">
        <f t="shared" ref="I40" si="2">I41 - I39 - I38</f>
        <v>390.66666666666674</v>
      </c>
      <c r="J40" s="2">
        <f t="shared" ref="J40" si="3">J41 - J39 - J38</f>
        <v>56.6666666666666</v>
      </c>
      <c r="K40" s="2">
        <f t="shared" ref="K40:L40" si="4">K41 - K39 - K38</f>
        <v>62.333333333333343</v>
      </c>
      <c r="L40" s="2" t="e">
        <f t="shared" si="4"/>
        <v>#DIV/0!</v>
      </c>
      <c r="M40" s="2">
        <f t="shared" ref="M40" si="5">M41 - M39 - M38</f>
        <v>574</v>
      </c>
      <c r="N40" s="2">
        <f t="shared" ref="N40" si="6">N41 - N39 - N38</f>
        <v>857.33333333333326</v>
      </c>
      <c r="O40" s="2"/>
      <c r="P40" s="2"/>
      <c r="Q40" s="2"/>
    </row>
    <row r="41" spans="2:17" x14ac:dyDescent="0.25">
      <c r="B41" t="s">
        <v>23</v>
      </c>
      <c r="C41" s="2">
        <f>AVERAGE(Table48[Newtonsoft])</f>
        <v>1234.6666666666667</v>
      </c>
      <c r="D41" s="2">
        <f>AVERAGE(Table48[Revenj])</f>
        <v>388.33333333333331</v>
      </c>
      <c r="E41" s="2">
        <f>AVERAGE(Table48[ProtoBuf (binary reference)])</f>
        <v>365</v>
      </c>
      <c r="F41" s="2">
        <f>AVERAGE(Table48[Service Stack])</f>
        <v>1038</v>
      </c>
      <c r="G41" s="2">
        <f>AVERAGE(Table48[Jil])</f>
        <v>679</v>
      </c>
      <c r="H41" s="2">
        <f>AVERAGE(Table48[NetJSON])</f>
        <v>1187.6666666666667</v>
      </c>
      <c r="I41" s="2">
        <f>AVERAGE(Table48[Jackson])</f>
        <v>819</v>
      </c>
      <c r="J41" s="2">
        <f>AVERAGE(Table48[DSL-JSON])</f>
        <v>416.33333333333331</v>
      </c>
      <c r="K41" s="2">
        <f>AVERAGE(Table48[Kryo (binary reference)])</f>
        <v>401.33333333333331</v>
      </c>
      <c r="L41" s="2" t="e">
        <f>AVERAGE(Table48[Boon])</f>
        <v>#DIV/0!</v>
      </c>
      <c r="M41" s="4">
        <f>AVERAGE(Table48[Alibaba])</f>
        <v>1476</v>
      </c>
      <c r="N41" s="2">
        <f>AVERAGE(Table48[Gson])</f>
        <v>1846.3333333333333</v>
      </c>
      <c r="O41" s="2"/>
      <c r="P41" s="2"/>
      <c r="Q41" s="2"/>
    </row>
    <row r="42" spans="2:17" x14ac:dyDescent="0.25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AVERAGE(Table46[ProtoBuf (size)])</f>
        <v>4488890</v>
      </c>
      <c r="F42" s="3">
        <f>AVERAGE(Table46[Service Stack (size)])</f>
        <v>11838890</v>
      </c>
      <c r="G42" s="2">
        <f>AVERAGE(Table46[Jil (size)])</f>
        <v>11938890</v>
      </c>
      <c r="H42" s="2">
        <f>AVERAGE(Table46[NetJSON (size)])</f>
        <v>11288890</v>
      </c>
      <c r="I42" s="2">
        <f>AVERAGE(Table46[Jackson (size)])</f>
        <v>10938890</v>
      </c>
      <c r="J42" s="2">
        <f>AVERAGE(Table46[DSL-JSON (size)])</f>
        <v>10188890</v>
      </c>
      <c r="K42" s="2">
        <f>AVERAGE(Table46[Kryo (size)])</f>
        <v>3888890</v>
      </c>
      <c r="L42" s="2">
        <f>AVERAGE(Table46[Boon (size)])</f>
        <v>8988890</v>
      </c>
      <c r="M42" s="4">
        <f>AVERAGE(Table46[Alibaba (size)])</f>
        <v>10938890</v>
      </c>
      <c r="N42" s="2">
        <f>AVERAGE(Table46[Gson (size)])</f>
        <v>10938890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DEVSQ(Table46[Newtonsoft])</f>
        <v>12.666666666666666</v>
      </c>
      <c r="D47" s="2">
        <f>DEVSQ(Table46[Revenj])</f>
        <v>0</v>
      </c>
      <c r="E47" s="2">
        <f>DEVSQ(Table46[ProtoBuf (binary reference)])</f>
        <v>2.6666666666666665</v>
      </c>
      <c r="F47" s="2">
        <f>DEVSQ(Table46[Service Stack])</f>
        <v>0.66666666666666674</v>
      </c>
      <c r="G47" s="2">
        <f>DEVSQ(Table46[Jil])</f>
        <v>8.6666666666666661</v>
      </c>
      <c r="H47" s="2">
        <f>DEVSQ(Table46[NetJSON])</f>
        <v>0.66666666666666674</v>
      </c>
      <c r="I47" s="2">
        <f>DEVSQ(Table46[Jackson])</f>
        <v>6780.666666666667</v>
      </c>
      <c r="J47" s="2">
        <f>DEVSQ(Table46[DSL-JSON])</f>
        <v>3516.666666666667</v>
      </c>
      <c r="K47" s="2">
        <f>DEVSQ(Table46[Kryo (binary reference)])</f>
        <v>32</v>
      </c>
      <c r="L47" s="2">
        <f>DEVSQ(Table46[Boon])</f>
        <v>158</v>
      </c>
      <c r="M47" s="2">
        <f>DEVSQ(Table46[Alibaba])</f>
        <v>2912</v>
      </c>
      <c r="N47" s="2">
        <f>DEVSQ(Table46[Gson])</f>
        <v>3138</v>
      </c>
      <c r="O47" s="2"/>
      <c r="P47" s="2"/>
      <c r="Q47" s="2"/>
    </row>
    <row r="48" spans="2:17" x14ac:dyDescent="0.25">
      <c r="B48" t="s">
        <v>23</v>
      </c>
      <c r="C48" s="2">
        <f>DEVSQ(Table48[Newtonsoft])</f>
        <v>108.66666666666666</v>
      </c>
      <c r="D48" s="2">
        <f>DEVSQ(Table48[Revenj])</f>
        <v>16.666666666666664</v>
      </c>
      <c r="E48" s="2">
        <f>DEVSQ(Table48[ProtoBuf (binary reference)])</f>
        <v>14</v>
      </c>
      <c r="F48" s="2">
        <f>DEVSQ(Table48[Service Stack])</f>
        <v>8</v>
      </c>
      <c r="G48" s="2">
        <f>DEVSQ(Table48[Jil])</f>
        <v>2</v>
      </c>
      <c r="H48" s="2">
        <f>DEVSQ(Table48[NetJSON])</f>
        <v>2.6666666666666665</v>
      </c>
      <c r="I48" s="2">
        <f>DEVSQ(Table48[Jackson])</f>
        <v>1082</v>
      </c>
      <c r="J48" s="2">
        <f>DEVSQ(Table48[DSL-JSON])</f>
        <v>28.666666666666671</v>
      </c>
      <c r="K48" s="2">
        <f>DEVSQ(Table48[Kryo (binary reference)])</f>
        <v>44.666666666666671</v>
      </c>
      <c r="L48" s="2" t="e">
        <f>DEVSQ(Table48[Boon])</f>
        <v>#NUM!</v>
      </c>
      <c r="M48" s="2">
        <f>DEVSQ(Table48[Alibaba])</f>
        <v>6846</v>
      </c>
      <c r="N48" s="2">
        <f>DEVSQ(Table48[Gson])</f>
        <v>3280.666666666667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101</v>
      </c>
      <c r="C52">
        <v>99</v>
      </c>
      <c r="D52">
        <v>95</v>
      </c>
      <c r="E52">
        <v>94</v>
      </c>
      <c r="F52">
        <v>95</v>
      </c>
      <c r="G52">
        <v>96</v>
      </c>
      <c r="H52">
        <v>214</v>
      </c>
      <c r="I52">
        <v>220</v>
      </c>
      <c r="J52">
        <v>223</v>
      </c>
      <c r="K52">
        <v>228</v>
      </c>
      <c r="L52">
        <v>215</v>
      </c>
      <c r="M52">
        <v>224</v>
      </c>
    </row>
    <row r="53" spans="2:25" x14ac:dyDescent="0.25">
      <c r="B53">
        <v>100</v>
      </c>
      <c r="C53">
        <v>98</v>
      </c>
      <c r="D53">
        <v>95</v>
      </c>
      <c r="E53">
        <v>95</v>
      </c>
      <c r="F53">
        <v>96</v>
      </c>
      <c r="G53">
        <v>98</v>
      </c>
      <c r="H53">
        <v>224</v>
      </c>
      <c r="I53">
        <v>219</v>
      </c>
      <c r="J53">
        <v>220</v>
      </c>
      <c r="K53">
        <v>232</v>
      </c>
      <c r="L53">
        <v>211</v>
      </c>
      <c r="M53">
        <v>238</v>
      </c>
    </row>
    <row r="54" spans="2:25" x14ac:dyDescent="0.25">
      <c r="B54">
        <v>100</v>
      </c>
      <c r="C54">
        <v>98</v>
      </c>
      <c r="D54">
        <v>96</v>
      </c>
      <c r="E54">
        <v>95</v>
      </c>
      <c r="F54">
        <v>96</v>
      </c>
      <c r="G54">
        <v>97</v>
      </c>
      <c r="H54">
        <v>216</v>
      </c>
      <c r="I54">
        <v>220</v>
      </c>
      <c r="J54">
        <v>231</v>
      </c>
      <c r="K54">
        <v>227</v>
      </c>
      <c r="L54">
        <v>215</v>
      </c>
      <c r="M54">
        <v>225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414</v>
      </c>
      <c r="C58">
        <v>200</v>
      </c>
      <c r="D58">
        <v>189</v>
      </c>
      <c r="E58">
        <v>416</v>
      </c>
      <c r="F58">
        <v>322</v>
      </c>
      <c r="G58">
        <v>310</v>
      </c>
      <c r="H58">
        <v>494</v>
      </c>
      <c r="I58">
        <v>408</v>
      </c>
      <c r="J58">
        <v>339</v>
      </c>
      <c r="K58">
        <v>756</v>
      </c>
      <c r="L58">
        <v>926</v>
      </c>
      <c r="M58">
        <v>1032</v>
      </c>
      <c r="N58">
        <v>11938890</v>
      </c>
      <c r="O58">
        <v>10188890</v>
      </c>
      <c r="P58">
        <v>4488890</v>
      </c>
      <c r="Q58">
        <v>11838890</v>
      </c>
      <c r="R58">
        <v>11938890</v>
      </c>
      <c r="S58">
        <v>11288890</v>
      </c>
      <c r="T58">
        <v>10938890</v>
      </c>
      <c r="U58">
        <v>10188890</v>
      </c>
      <c r="V58">
        <v>3888890</v>
      </c>
      <c r="W58">
        <v>8988890</v>
      </c>
      <c r="X58">
        <v>10938890</v>
      </c>
      <c r="Y58">
        <v>10938890</v>
      </c>
    </row>
    <row r="59" spans="2:25" x14ac:dyDescent="0.25">
      <c r="B59">
        <v>412</v>
      </c>
      <c r="C59">
        <v>200</v>
      </c>
      <c r="D59">
        <v>191</v>
      </c>
      <c r="E59">
        <v>416</v>
      </c>
      <c r="F59">
        <v>321</v>
      </c>
      <c r="G59">
        <v>309</v>
      </c>
      <c r="H59">
        <v>408</v>
      </c>
      <c r="I59">
        <v>338</v>
      </c>
      <c r="J59">
        <v>343</v>
      </c>
      <c r="K59">
        <v>769</v>
      </c>
      <c r="L59">
        <v>922</v>
      </c>
      <c r="M59">
        <v>954</v>
      </c>
      <c r="N59">
        <v>11938890</v>
      </c>
      <c r="O59">
        <v>10188890</v>
      </c>
      <c r="P59">
        <v>4488890</v>
      </c>
      <c r="Q59">
        <v>11838890</v>
      </c>
      <c r="R59">
        <v>11938890</v>
      </c>
      <c r="S59">
        <v>11288890</v>
      </c>
      <c r="T59">
        <v>10938890</v>
      </c>
      <c r="U59">
        <v>10188890</v>
      </c>
      <c r="V59">
        <v>3888890</v>
      </c>
      <c r="W59">
        <v>8988890</v>
      </c>
      <c r="X59">
        <v>10938890</v>
      </c>
      <c r="Y59">
        <v>10938890</v>
      </c>
    </row>
    <row r="60" spans="2:25" x14ac:dyDescent="0.25">
      <c r="B60">
        <v>417</v>
      </c>
      <c r="C60">
        <v>200</v>
      </c>
      <c r="D60">
        <v>189</v>
      </c>
      <c r="E60">
        <v>415</v>
      </c>
      <c r="F60">
        <v>325</v>
      </c>
      <c r="G60">
        <v>310</v>
      </c>
      <c r="H60">
        <v>383</v>
      </c>
      <c r="I60">
        <v>333</v>
      </c>
      <c r="J60">
        <v>335</v>
      </c>
      <c r="K60">
        <v>773</v>
      </c>
      <c r="L60">
        <v>858</v>
      </c>
      <c r="M60">
        <v>981</v>
      </c>
      <c r="N60">
        <v>11938890</v>
      </c>
      <c r="O60">
        <v>10188890</v>
      </c>
      <c r="P60">
        <v>4488890</v>
      </c>
      <c r="Q60">
        <v>11838890</v>
      </c>
      <c r="R60">
        <v>11938890</v>
      </c>
      <c r="S60">
        <v>11288890</v>
      </c>
      <c r="T60">
        <v>10938890</v>
      </c>
      <c r="U60">
        <v>10188890</v>
      </c>
      <c r="V60">
        <v>3888890</v>
      </c>
      <c r="W60">
        <v>8988890</v>
      </c>
      <c r="X60">
        <v>10938890</v>
      </c>
      <c r="Y60">
        <v>10938890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1229</v>
      </c>
      <c r="C64">
        <v>385</v>
      </c>
      <c r="D64">
        <v>363</v>
      </c>
      <c r="E64">
        <v>1036</v>
      </c>
      <c r="F64">
        <v>678</v>
      </c>
      <c r="G64">
        <v>1189</v>
      </c>
      <c r="H64">
        <v>840</v>
      </c>
      <c r="I64">
        <v>412</v>
      </c>
      <c r="J64">
        <v>396</v>
      </c>
      <c r="L64">
        <v>1418</v>
      </c>
      <c r="M64">
        <v>1810</v>
      </c>
    </row>
    <row r="65" spans="2:13" x14ac:dyDescent="0.25">
      <c r="B65">
        <v>1243</v>
      </c>
      <c r="C65">
        <v>390</v>
      </c>
      <c r="D65">
        <v>368</v>
      </c>
      <c r="E65">
        <v>1040</v>
      </c>
      <c r="F65">
        <v>679</v>
      </c>
      <c r="G65">
        <v>1187</v>
      </c>
      <c r="H65">
        <v>823</v>
      </c>
      <c r="I65">
        <v>419</v>
      </c>
      <c r="J65">
        <v>405</v>
      </c>
      <c r="L65">
        <v>1475</v>
      </c>
      <c r="M65">
        <v>1839</v>
      </c>
    </row>
    <row r="66" spans="2:13" x14ac:dyDescent="0.25">
      <c r="B66">
        <v>1232</v>
      </c>
      <c r="C66">
        <v>390</v>
      </c>
      <c r="D66">
        <v>364</v>
      </c>
      <c r="E66">
        <v>1038</v>
      </c>
      <c r="F66">
        <v>680</v>
      </c>
      <c r="G66">
        <v>1187</v>
      </c>
      <c r="H66">
        <v>794</v>
      </c>
      <c r="I66">
        <v>418</v>
      </c>
      <c r="J66">
        <v>403</v>
      </c>
      <c r="L66">
        <v>1535</v>
      </c>
      <c r="M66">
        <v>1890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44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AVERAGE(Table52[Newtonsoft])</f>
        <v>818.33333333333337</v>
      </c>
      <c r="D38" s="2">
        <f>AVERAGE(Table52[Revenj])</f>
        <v>843</v>
      </c>
      <c r="E38" s="2">
        <f>AVERAGE(Table52[ProtoBuf (binary reference)])</f>
        <v>825.66666666666663</v>
      </c>
      <c r="F38" s="2">
        <f>AVERAGE(Table52[Service Stack])</f>
        <v>798.33333333333337</v>
      </c>
      <c r="G38" s="2">
        <f>AVERAGE(Table52[Jil])</f>
        <v>804</v>
      </c>
      <c r="H38" s="2">
        <f>AVERAGE(Table52[NetJSON])</f>
        <v>794.33333333333337</v>
      </c>
      <c r="I38" s="2">
        <f>AVERAGE(Table52[Jackson])</f>
        <v>668.33333333333337</v>
      </c>
      <c r="J38" s="2">
        <f>AVERAGE(Table52[DSL-JSON])</f>
        <v>677</v>
      </c>
      <c r="K38" s="2">
        <f>AVERAGE(Table52[Kryo (binary reference)])</f>
        <v>684</v>
      </c>
      <c r="L38" s="2">
        <f>AVERAGE(Table52[Boon])</f>
        <v>694.66666666666663</v>
      </c>
      <c r="M38" s="2">
        <f>AVERAGE(Table52[Alibaba])</f>
        <v>690.33333333333337</v>
      </c>
      <c r="N38" s="2">
        <f>AVERAGE(Table52[Gson])</f>
        <v>693.66666666666663</v>
      </c>
      <c r="O38" s="2"/>
      <c r="P38" s="2"/>
      <c r="Q38" s="2"/>
    </row>
    <row r="39" spans="2:17" x14ac:dyDescent="0.25">
      <c r="B39" t="s">
        <v>0</v>
      </c>
      <c r="C39" s="2">
        <f>AVERAGE(Table51[Newtonsoft]) - C38</f>
        <v>3129.6666666666665</v>
      </c>
      <c r="D39" s="2">
        <f>AVERAGE(Table51[Revenj]) - D38</f>
        <v>929.33333333333326</v>
      </c>
      <c r="E39" s="2">
        <f>AVERAGE(Table51[ProtoBuf (binary reference)]) - E38</f>
        <v>888.66666666666663</v>
      </c>
      <c r="F39" s="2">
        <f>AVERAGE(Table51[Service Stack]) - F38</f>
        <v>2963</v>
      </c>
      <c r="G39" s="2">
        <f>AVERAGE(Table51[Jil]) - G38</f>
        <v>2155.3333333333335</v>
      </c>
      <c r="H39" s="2">
        <f>AVERAGE(Table51[NetJSON]) - H38</f>
        <v>2089</v>
      </c>
      <c r="I39" s="2">
        <f>AVERAGE(Table51[Jackson]) - I38</f>
        <v>1230</v>
      </c>
      <c r="J39" s="2">
        <f>AVERAGE(Table51[DSL-JSON]) - J38</f>
        <v>543.66666666666674</v>
      </c>
      <c r="K39" s="2">
        <f>AVERAGE(Table51[Kryo (binary reference)]) - K38</f>
        <v>500</v>
      </c>
      <c r="L39" s="2">
        <f>AVERAGE(Table51[Boon]) - L38</f>
        <v>3670.0000000000005</v>
      </c>
      <c r="M39" s="4">
        <f>AVERAGE(Table51[Alibaba]) - M38</f>
        <v>3941.6666666666665</v>
      </c>
      <c r="N39" s="2">
        <f>AVERAGE(Table51[Gson]) - N38</f>
        <v>5529.6666666666661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7855.0000000000009</v>
      </c>
      <c r="D40" s="2">
        <f t="shared" si="0"/>
        <v>1803.333333333333</v>
      </c>
      <c r="E40" s="2">
        <f t="shared" ref="E40" si="1">E41 - E39 - E38</f>
        <v>1756.0000000000005</v>
      </c>
      <c r="F40" s="2">
        <f t="shared" si="0"/>
        <v>5906.666666666667</v>
      </c>
      <c r="G40" s="2">
        <f t="shared" si="0"/>
        <v>3141.9999999999995</v>
      </c>
      <c r="H40" s="2">
        <f t="shared" si="0"/>
        <v>8522.3333333333321</v>
      </c>
      <c r="I40" s="2">
        <f t="shared" ref="I40" si="2">I41 - I39 - I38</f>
        <v>2727.3333333333335</v>
      </c>
      <c r="J40" s="2">
        <f t="shared" ref="J40" si="3">J41 - J39 - J38</f>
        <v>459.66666666666652</v>
      </c>
      <c r="K40" s="2">
        <f t="shared" ref="K40:L40" si="4">K41 - K39 - K38</f>
        <v>409</v>
      </c>
      <c r="L40" s="2" t="e">
        <f t="shared" si="4"/>
        <v>#DIV/0!</v>
      </c>
      <c r="M40" s="2">
        <f t="shared" ref="M40" si="5">M41 - M39 - M38</f>
        <v>4303.3333333333348</v>
      </c>
      <c r="N40" s="2">
        <f t="shared" ref="N40" si="6">N41 - N39 - N38</f>
        <v>5066.666666666667</v>
      </c>
      <c r="O40" s="2"/>
      <c r="P40" s="2"/>
      <c r="Q40" s="2"/>
    </row>
    <row r="41" spans="2:17" x14ac:dyDescent="0.25">
      <c r="B41" t="s">
        <v>23</v>
      </c>
      <c r="C41" s="2">
        <f>AVERAGE(Table53[Newtonsoft])</f>
        <v>11803</v>
      </c>
      <c r="D41" s="2">
        <f>AVERAGE(Table53[Revenj])</f>
        <v>3575.6666666666665</v>
      </c>
      <c r="E41" s="2">
        <f>AVERAGE(Table53[ProtoBuf (binary reference)])</f>
        <v>3470.3333333333335</v>
      </c>
      <c r="F41" s="2">
        <f>AVERAGE(Table53[Service Stack])</f>
        <v>9668</v>
      </c>
      <c r="G41" s="2">
        <f>AVERAGE(Table53[Jil])</f>
        <v>6101.333333333333</v>
      </c>
      <c r="H41" s="2">
        <f>AVERAGE(Table53[NetJSON])</f>
        <v>11405.666666666666</v>
      </c>
      <c r="I41" s="2">
        <f>AVERAGE(Table53[Jackson])</f>
        <v>4625.666666666667</v>
      </c>
      <c r="J41" s="2">
        <f>AVERAGE(Table53[DSL-JSON])</f>
        <v>1680.3333333333333</v>
      </c>
      <c r="K41" s="2">
        <f>AVERAGE(Table53[Kryo (binary reference)])</f>
        <v>1593</v>
      </c>
      <c r="L41" s="2" t="e">
        <f>AVERAGE(Table53[Boon])</f>
        <v>#DIV/0!</v>
      </c>
      <c r="M41" s="4">
        <f>AVERAGE(Table53[Alibaba])</f>
        <v>8935.3333333333339</v>
      </c>
      <c r="N41" s="2">
        <f>AVERAGE(Table53[Gson])</f>
        <v>11290</v>
      </c>
      <c r="O41" s="2"/>
      <c r="P41" s="2"/>
      <c r="Q41" s="2"/>
    </row>
    <row r="42" spans="2:17" x14ac:dyDescent="0.25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AVERAGE(Table51[ProtoBuf (size)])</f>
        <v>45888890</v>
      </c>
      <c r="F42" s="3">
        <f>AVERAGE(Table51[Service Stack (size)])</f>
        <v>119388890</v>
      </c>
      <c r="G42" s="2">
        <f>AVERAGE(Table51[Jil (size)])</f>
        <v>120388890</v>
      </c>
      <c r="H42" s="2">
        <f>AVERAGE(Table51[NetJSON (size)])</f>
        <v>113888890</v>
      </c>
      <c r="I42" s="2">
        <f>AVERAGE(Table51[Jackson (size)])</f>
        <v>110388890</v>
      </c>
      <c r="J42" s="2">
        <f>AVERAGE(Table51[DSL-JSON (size)])</f>
        <v>102888890</v>
      </c>
      <c r="K42" s="2">
        <f>AVERAGE(Table51[Kryo (size)])</f>
        <v>39888890</v>
      </c>
      <c r="L42" s="2">
        <f>AVERAGE(Table51[Boon (size)])</f>
        <v>90888890</v>
      </c>
      <c r="M42" s="4">
        <f>AVERAGE(Table51[Alibaba (size)])</f>
        <v>110388890</v>
      </c>
      <c r="N42" s="2">
        <f>AVERAGE(Table51[Gson (size)])</f>
        <v>110388890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DEVSQ(Table51[Newtonsoft])</f>
        <v>342</v>
      </c>
      <c r="D47" s="2">
        <f>DEVSQ(Table51[Revenj])</f>
        <v>66.666666666666657</v>
      </c>
      <c r="E47" s="2">
        <f>DEVSQ(Table51[ProtoBuf (binary reference)])</f>
        <v>288.66666666666669</v>
      </c>
      <c r="F47" s="2">
        <f>DEVSQ(Table51[Service Stack])</f>
        <v>140.66666666666669</v>
      </c>
      <c r="G47" s="2">
        <f>DEVSQ(Table51[Jil])</f>
        <v>2.666666666666667</v>
      </c>
      <c r="H47" s="2">
        <f>DEVSQ(Table51[NetJSON])</f>
        <v>84.666666666666671</v>
      </c>
      <c r="I47" s="2">
        <f>DEVSQ(Table51[Jackson])</f>
        <v>40.666666666666671</v>
      </c>
      <c r="J47" s="2">
        <f>DEVSQ(Table51[DSL-JSON])</f>
        <v>22964.666666666668</v>
      </c>
      <c r="K47" s="2">
        <f>DEVSQ(Table51[Kryo (binary reference)])</f>
        <v>6146</v>
      </c>
      <c r="L47" s="2">
        <f>DEVSQ(Table51[Boon])</f>
        <v>13640.666666666668</v>
      </c>
      <c r="M47" s="2">
        <f>DEVSQ(Table51[Alibaba])</f>
        <v>4298</v>
      </c>
      <c r="N47" s="2">
        <f>DEVSQ(Table51[Gson])</f>
        <v>5874.666666666667</v>
      </c>
      <c r="O47" s="2"/>
      <c r="P47" s="2"/>
      <c r="Q47" s="2"/>
    </row>
    <row r="48" spans="2:17" x14ac:dyDescent="0.25">
      <c r="B48" t="s">
        <v>23</v>
      </c>
      <c r="C48" s="2">
        <f>DEVSQ(Table53[Newtonsoft])</f>
        <v>1376</v>
      </c>
      <c r="D48" s="2">
        <f>DEVSQ(Table53[Revenj])</f>
        <v>48.666666666666671</v>
      </c>
      <c r="E48" s="2">
        <f>DEVSQ(Table53[ProtoBuf (binary reference)])</f>
        <v>482.66666666666663</v>
      </c>
      <c r="F48" s="2">
        <f>DEVSQ(Table53[Service Stack])</f>
        <v>834</v>
      </c>
      <c r="G48" s="2">
        <f>DEVSQ(Table53[Jil])</f>
        <v>394.66666666666669</v>
      </c>
      <c r="H48" s="2">
        <f>DEVSQ(Table53[NetJSON])</f>
        <v>88.666666666666657</v>
      </c>
      <c r="I48" s="2">
        <f>DEVSQ(Table53[Jackson])</f>
        <v>69564.666666666672</v>
      </c>
      <c r="J48" s="2">
        <f>DEVSQ(Table53[DSL-JSON])</f>
        <v>7028.666666666667</v>
      </c>
      <c r="K48" s="2">
        <f>DEVSQ(Table53[Kryo (binary reference)])</f>
        <v>2654</v>
      </c>
      <c r="L48" s="2" t="e">
        <f>DEVSQ(Table53[Boon])</f>
        <v>#NUM!</v>
      </c>
      <c r="M48" s="2">
        <f>DEVSQ(Table53[Alibaba])</f>
        <v>685538.66666666663</v>
      </c>
      <c r="N48" s="2">
        <f>DEVSQ(Table53[Gson])</f>
        <v>14882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821</v>
      </c>
      <c r="C52">
        <v>841</v>
      </c>
      <c r="D52">
        <v>807</v>
      </c>
      <c r="E52">
        <v>797</v>
      </c>
      <c r="F52">
        <v>804</v>
      </c>
      <c r="G52">
        <v>793</v>
      </c>
      <c r="H52">
        <v>665</v>
      </c>
      <c r="I52">
        <v>692</v>
      </c>
      <c r="J52">
        <v>694</v>
      </c>
      <c r="K52">
        <v>711</v>
      </c>
      <c r="L52">
        <v>682</v>
      </c>
      <c r="M52">
        <v>689</v>
      </c>
    </row>
    <row r="53" spans="2:25" x14ac:dyDescent="0.25">
      <c r="B53">
        <v>815</v>
      </c>
      <c r="C53">
        <v>839</v>
      </c>
      <c r="D53">
        <v>861</v>
      </c>
      <c r="E53">
        <v>798</v>
      </c>
      <c r="F53">
        <v>804</v>
      </c>
      <c r="G53">
        <v>794</v>
      </c>
      <c r="H53">
        <v>672</v>
      </c>
      <c r="I53">
        <v>666</v>
      </c>
      <c r="J53">
        <v>686</v>
      </c>
      <c r="K53">
        <v>698</v>
      </c>
      <c r="L53">
        <v>702</v>
      </c>
      <c r="M53">
        <v>674</v>
      </c>
    </row>
    <row r="54" spans="2:25" x14ac:dyDescent="0.25">
      <c r="B54">
        <v>819</v>
      </c>
      <c r="C54">
        <v>849</v>
      </c>
      <c r="D54">
        <v>809</v>
      </c>
      <c r="E54">
        <v>800</v>
      </c>
      <c r="F54">
        <v>804</v>
      </c>
      <c r="G54">
        <v>796</v>
      </c>
      <c r="H54">
        <v>668</v>
      </c>
      <c r="I54">
        <v>673</v>
      </c>
      <c r="J54">
        <v>672</v>
      </c>
      <c r="K54">
        <v>675</v>
      </c>
      <c r="L54">
        <v>687</v>
      </c>
      <c r="M54">
        <v>718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3957</v>
      </c>
      <c r="C58">
        <v>1769</v>
      </c>
      <c r="D58">
        <v>1726</v>
      </c>
      <c r="E58">
        <v>3756</v>
      </c>
      <c r="F58">
        <v>2958</v>
      </c>
      <c r="G58">
        <v>2883</v>
      </c>
      <c r="H58">
        <v>1898</v>
      </c>
      <c r="I58">
        <v>1126</v>
      </c>
      <c r="J58">
        <v>1176</v>
      </c>
      <c r="K58">
        <v>4277</v>
      </c>
      <c r="L58">
        <v>4617</v>
      </c>
      <c r="M58">
        <v>6280</v>
      </c>
      <c r="N58">
        <v>120388890</v>
      </c>
      <c r="O58">
        <v>102888890</v>
      </c>
      <c r="P58">
        <v>45888890</v>
      </c>
      <c r="Q58">
        <v>119388890</v>
      </c>
      <c r="R58">
        <v>120388890</v>
      </c>
      <c r="S58">
        <v>113888890</v>
      </c>
      <c r="T58">
        <v>110388890</v>
      </c>
      <c r="U58">
        <v>102888890</v>
      </c>
      <c r="V58">
        <v>39888890</v>
      </c>
      <c r="W58">
        <v>90888890</v>
      </c>
      <c r="X58">
        <v>110388890</v>
      </c>
      <c r="Y58">
        <v>110388890</v>
      </c>
    </row>
    <row r="59" spans="2:25" x14ac:dyDescent="0.25">
      <c r="B59">
        <v>3933</v>
      </c>
      <c r="C59">
        <v>1769</v>
      </c>
      <c r="D59">
        <v>1702</v>
      </c>
      <c r="E59">
        <v>3757</v>
      </c>
      <c r="F59">
        <v>2960</v>
      </c>
      <c r="G59">
        <v>2890</v>
      </c>
      <c r="H59">
        <v>1894</v>
      </c>
      <c r="I59">
        <v>1337</v>
      </c>
      <c r="J59">
        <v>1133</v>
      </c>
      <c r="K59">
        <v>4441</v>
      </c>
      <c r="L59">
        <v>4684</v>
      </c>
      <c r="M59">
        <v>6172</v>
      </c>
      <c r="N59">
        <v>120388890</v>
      </c>
      <c r="O59">
        <v>102888890</v>
      </c>
      <c r="P59">
        <v>45888890</v>
      </c>
      <c r="Q59">
        <v>119388890</v>
      </c>
      <c r="R59">
        <v>120388890</v>
      </c>
      <c r="S59">
        <v>113888890</v>
      </c>
      <c r="T59">
        <v>110388890</v>
      </c>
      <c r="U59">
        <v>102888890</v>
      </c>
      <c r="V59">
        <v>39888890</v>
      </c>
      <c r="W59">
        <v>90888890</v>
      </c>
      <c r="X59">
        <v>110388890</v>
      </c>
      <c r="Y59">
        <v>110388890</v>
      </c>
    </row>
    <row r="60" spans="2:25" x14ac:dyDescent="0.25">
      <c r="B60">
        <v>3954</v>
      </c>
      <c r="C60">
        <v>1779</v>
      </c>
      <c r="D60">
        <v>1715</v>
      </c>
      <c r="E60">
        <v>3771</v>
      </c>
      <c r="F60">
        <v>2960</v>
      </c>
      <c r="G60">
        <v>2877</v>
      </c>
      <c r="H60">
        <v>1903</v>
      </c>
      <c r="I60">
        <v>1199</v>
      </c>
      <c r="J60">
        <v>1243</v>
      </c>
      <c r="K60">
        <v>4376</v>
      </c>
      <c r="L60">
        <v>4595</v>
      </c>
      <c r="M60">
        <v>6218</v>
      </c>
      <c r="N60">
        <v>120388890</v>
      </c>
      <c r="O60">
        <v>102888890</v>
      </c>
      <c r="P60">
        <v>45888890</v>
      </c>
      <c r="Q60">
        <v>119388890</v>
      </c>
      <c r="R60">
        <v>120388890</v>
      </c>
      <c r="S60">
        <v>113888890</v>
      </c>
      <c r="T60">
        <v>110388890</v>
      </c>
      <c r="U60">
        <v>102888890</v>
      </c>
      <c r="V60">
        <v>39888890</v>
      </c>
      <c r="W60">
        <v>90888890</v>
      </c>
      <c r="X60">
        <v>110388890</v>
      </c>
      <c r="Y60">
        <v>110388890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11779</v>
      </c>
      <c r="C64">
        <v>3570</v>
      </c>
      <c r="D64">
        <v>3483</v>
      </c>
      <c r="E64">
        <v>9661</v>
      </c>
      <c r="F64">
        <v>6088</v>
      </c>
      <c r="G64">
        <v>11410</v>
      </c>
      <c r="H64">
        <v>4439</v>
      </c>
      <c r="I64">
        <v>1612</v>
      </c>
      <c r="J64">
        <v>1551</v>
      </c>
      <c r="L64">
        <v>8852</v>
      </c>
      <c r="M64">
        <v>11349</v>
      </c>
    </row>
    <row r="65" spans="2:13" x14ac:dyDescent="0.25">
      <c r="B65">
        <v>11831</v>
      </c>
      <c r="C65">
        <v>3579</v>
      </c>
      <c r="D65">
        <v>3475</v>
      </c>
      <c r="E65">
        <v>9691</v>
      </c>
      <c r="F65">
        <v>6116</v>
      </c>
      <c r="G65">
        <v>11398</v>
      </c>
      <c r="H65">
        <v>4812</v>
      </c>
      <c r="I65">
        <v>1718</v>
      </c>
      <c r="J65">
        <v>1612</v>
      </c>
      <c r="L65">
        <v>8396</v>
      </c>
      <c r="M65">
        <v>11330</v>
      </c>
    </row>
    <row r="66" spans="2:13" x14ac:dyDescent="0.25">
      <c r="B66">
        <v>11799</v>
      </c>
      <c r="C66">
        <v>3578</v>
      </c>
      <c r="D66">
        <v>3453</v>
      </c>
      <c r="E66">
        <v>9652</v>
      </c>
      <c r="F66">
        <v>6100</v>
      </c>
      <c r="G66">
        <v>11409</v>
      </c>
      <c r="H66">
        <v>4626</v>
      </c>
      <c r="I66">
        <v>1711</v>
      </c>
      <c r="J66">
        <v>1616</v>
      </c>
      <c r="L66">
        <v>9558</v>
      </c>
      <c r="M66">
        <v>11191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2016-04-09T22:18:53Z</dcterms:modified>
</cp:coreProperties>
</file>