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Unlicensed version" sheetId="20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</sheets>
  <calcPr calcId="145621"/>
</workbook>
</file>

<file path=xl/calcChain.xml><?xml version="1.0" encoding="utf-8"?>
<calcChain xmlns="http://schemas.openxmlformats.org/spreadsheetml/2006/main">
  <c r="H40" i="1" l="1"/>
  <c r="H38" i="1"/>
  <c r="G40" i="1"/>
  <c r="G38" i="1"/>
  <c r="F40" i="1"/>
  <c r="F38" i="1"/>
  <c r="K38" i="1" l="1"/>
  <c r="J38" i="1"/>
  <c r="I40" i="1" l="1"/>
  <c r="E40" i="1"/>
  <c r="D38" i="1"/>
  <c r="C40" i="1"/>
  <c r="I38" i="1"/>
  <c r="E38" i="1"/>
  <c r="D40" i="1"/>
  <c r="C38" i="1"/>
  <c r="H41" i="1"/>
  <c r="H46" i="1" l="1"/>
  <c r="G46" i="1"/>
  <c r="E46" i="1"/>
  <c r="D46" i="1"/>
  <c r="D47" i="1"/>
  <c r="E47" i="1"/>
  <c r="F47" i="1"/>
  <c r="G47" i="1"/>
  <c r="H47" i="1"/>
  <c r="I47" i="1"/>
  <c r="C47" i="1"/>
  <c r="I41" i="1" l="1"/>
  <c r="G41" i="1"/>
  <c r="F41" i="1"/>
  <c r="E41" i="1"/>
  <c r="D41" i="1"/>
  <c r="G39" i="1" l="1"/>
  <c r="F39" i="1"/>
  <c r="H39" i="1"/>
  <c r="C41" i="1"/>
  <c r="F46" i="1" l="1"/>
  <c r="I46" i="1"/>
  <c r="C46" i="1"/>
  <c r="I39" i="1" l="1"/>
  <c r="E39" i="1"/>
  <c r="D39" i="1"/>
  <c r="C39" i="1"/>
  <c r="I47" i="19"/>
  <c r="H47" i="19"/>
  <c r="G47" i="19"/>
  <c r="F47" i="19"/>
  <c r="E47" i="19"/>
  <c r="D47" i="19"/>
  <c r="C47" i="19"/>
  <c r="I46" i="19"/>
  <c r="H46" i="19"/>
  <c r="G46" i="19"/>
  <c r="F46" i="19"/>
  <c r="E46" i="19"/>
  <c r="D46" i="19"/>
  <c r="C46" i="19"/>
  <c r="I41" i="19"/>
  <c r="H41" i="19"/>
  <c r="G41" i="19"/>
  <c r="F41" i="19"/>
  <c r="E41" i="19"/>
  <c r="D41" i="19"/>
  <c r="C41" i="19"/>
  <c r="H40" i="19"/>
  <c r="H39" i="19" s="1"/>
  <c r="G40" i="19"/>
  <c r="F40" i="19"/>
  <c r="F39" i="19" s="1"/>
  <c r="E40" i="19"/>
  <c r="E39" i="19" s="1"/>
  <c r="D40" i="19"/>
  <c r="D39" i="19" s="1"/>
  <c r="C40" i="19"/>
  <c r="C39" i="19" s="1"/>
  <c r="G39" i="19"/>
  <c r="K38" i="19"/>
  <c r="J38" i="19"/>
  <c r="I40" i="19" s="1"/>
  <c r="H38" i="19"/>
  <c r="G38" i="19"/>
  <c r="F38" i="19"/>
  <c r="E38" i="19"/>
  <c r="D38" i="19"/>
  <c r="C38" i="19"/>
  <c r="I47" i="18"/>
  <c r="H47" i="18"/>
  <c r="G47" i="18"/>
  <c r="F47" i="18"/>
  <c r="E47" i="18"/>
  <c r="D47" i="18"/>
  <c r="C47" i="18"/>
  <c r="I46" i="18"/>
  <c r="H46" i="18"/>
  <c r="G46" i="18"/>
  <c r="F46" i="18"/>
  <c r="E46" i="18"/>
  <c r="D46" i="18"/>
  <c r="C46" i="18"/>
  <c r="I41" i="18"/>
  <c r="H41" i="18"/>
  <c r="G41" i="18"/>
  <c r="F41" i="18"/>
  <c r="E41" i="18"/>
  <c r="D41" i="18"/>
  <c r="C41" i="18"/>
  <c r="I40" i="18"/>
  <c r="I39" i="18" s="1"/>
  <c r="H40" i="18"/>
  <c r="H39" i="18" s="1"/>
  <c r="G40" i="18"/>
  <c r="G39" i="18" s="1"/>
  <c r="F40" i="18"/>
  <c r="F39" i="18"/>
  <c r="K38" i="18"/>
  <c r="J38" i="18"/>
  <c r="E40" i="18" s="1"/>
  <c r="I38" i="18"/>
  <c r="H38" i="18"/>
  <c r="G38" i="18"/>
  <c r="F38" i="18"/>
  <c r="I47" i="17"/>
  <c r="H47" i="17"/>
  <c r="G47" i="17"/>
  <c r="F47" i="17"/>
  <c r="E47" i="17"/>
  <c r="D47" i="17"/>
  <c r="C47" i="17"/>
  <c r="I46" i="17"/>
  <c r="H46" i="17"/>
  <c r="G46" i="17"/>
  <c r="F46" i="17"/>
  <c r="E46" i="17"/>
  <c r="D46" i="17"/>
  <c r="C46" i="17"/>
  <c r="I41" i="17"/>
  <c r="H41" i="17"/>
  <c r="G41" i="17"/>
  <c r="F41" i="17"/>
  <c r="E41" i="17"/>
  <c r="D41" i="17"/>
  <c r="C41" i="17"/>
  <c r="H40" i="17"/>
  <c r="H39" i="17" s="1"/>
  <c r="G40" i="17"/>
  <c r="F40" i="17"/>
  <c r="F39" i="17" s="1"/>
  <c r="E40" i="17"/>
  <c r="E39" i="17" s="1"/>
  <c r="D40" i="17"/>
  <c r="D39" i="17" s="1"/>
  <c r="C40" i="17"/>
  <c r="C39" i="17" s="1"/>
  <c r="G39" i="17"/>
  <c r="K38" i="17"/>
  <c r="J38" i="17"/>
  <c r="I40" i="17" s="1"/>
  <c r="H38" i="17"/>
  <c r="G38" i="17"/>
  <c r="F38" i="17"/>
  <c r="E38" i="17"/>
  <c r="D38" i="17"/>
  <c r="C38" i="17"/>
  <c r="I47" i="16"/>
  <c r="H47" i="16"/>
  <c r="G47" i="16"/>
  <c r="F47" i="16"/>
  <c r="E47" i="16"/>
  <c r="D47" i="16"/>
  <c r="C47" i="16"/>
  <c r="I46" i="16"/>
  <c r="H46" i="16"/>
  <c r="G46" i="16"/>
  <c r="F46" i="16"/>
  <c r="E46" i="16"/>
  <c r="D46" i="16"/>
  <c r="C46" i="16"/>
  <c r="I41" i="16"/>
  <c r="H41" i="16"/>
  <c r="G41" i="16"/>
  <c r="F41" i="16"/>
  <c r="E41" i="16"/>
  <c r="D41" i="16"/>
  <c r="C41" i="16"/>
  <c r="I40" i="16"/>
  <c r="I39" i="16" s="1"/>
  <c r="H40" i="16"/>
  <c r="H39" i="16" s="1"/>
  <c r="G40" i="16"/>
  <c r="G39" i="16" s="1"/>
  <c r="F40" i="16"/>
  <c r="F39" i="16"/>
  <c r="K38" i="16"/>
  <c r="J38" i="16"/>
  <c r="E40" i="16" s="1"/>
  <c r="I38" i="16"/>
  <c r="H38" i="16"/>
  <c r="G38" i="16"/>
  <c r="F38" i="16"/>
  <c r="I47" i="15"/>
  <c r="H47" i="15"/>
  <c r="G47" i="15"/>
  <c r="F47" i="15"/>
  <c r="E47" i="15"/>
  <c r="D47" i="15"/>
  <c r="C47" i="15"/>
  <c r="I46" i="15"/>
  <c r="H46" i="15"/>
  <c r="G46" i="15"/>
  <c r="F46" i="15"/>
  <c r="E46" i="15"/>
  <c r="D46" i="15"/>
  <c r="C46" i="15"/>
  <c r="I41" i="15"/>
  <c r="H41" i="15"/>
  <c r="G41" i="15"/>
  <c r="F41" i="15"/>
  <c r="E41" i="15"/>
  <c r="D41" i="15"/>
  <c r="C41" i="15"/>
  <c r="H40" i="15"/>
  <c r="H39" i="15" s="1"/>
  <c r="G40" i="15"/>
  <c r="F40" i="15"/>
  <c r="F39" i="15" s="1"/>
  <c r="E40" i="15"/>
  <c r="E39" i="15" s="1"/>
  <c r="D40" i="15"/>
  <c r="D39" i="15" s="1"/>
  <c r="C40" i="15"/>
  <c r="C39" i="15" s="1"/>
  <c r="G39" i="15"/>
  <c r="K38" i="15"/>
  <c r="J38" i="15"/>
  <c r="I40" i="15" s="1"/>
  <c r="H38" i="15"/>
  <c r="G38" i="15"/>
  <c r="F38" i="15"/>
  <c r="E38" i="15"/>
  <c r="D38" i="15"/>
  <c r="C38" i="15"/>
  <c r="I47" i="14"/>
  <c r="H47" i="14"/>
  <c r="G47" i="14"/>
  <c r="F47" i="14"/>
  <c r="E47" i="14"/>
  <c r="D47" i="14"/>
  <c r="C47" i="14"/>
  <c r="I46" i="14"/>
  <c r="H46" i="14"/>
  <c r="G46" i="14"/>
  <c r="F46" i="14"/>
  <c r="E46" i="14"/>
  <c r="D46" i="14"/>
  <c r="C46" i="14"/>
  <c r="I41" i="14"/>
  <c r="H41" i="14"/>
  <c r="G41" i="14"/>
  <c r="F41" i="14"/>
  <c r="E41" i="14"/>
  <c r="D41" i="14"/>
  <c r="C41" i="14"/>
  <c r="I40" i="14"/>
  <c r="I39" i="14" s="1"/>
  <c r="H40" i="14"/>
  <c r="H39" i="14" s="1"/>
  <c r="G40" i="14"/>
  <c r="G39" i="14" s="1"/>
  <c r="F40" i="14"/>
  <c r="F39" i="14"/>
  <c r="K38" i="14"/>
  <c r="J38" i="14"/>
  <c r="D40" i="14" s="1"/>
  <c r="I38" i="14"/>
  <c r="H38" i="14"/>
  <c r="G38" i="14"/>
  <c r="F38" i="14"/>
  <c r="I47" i="13"/>
  <c r="H47" i="13"/>
  <c r="G47" i="13"/>
  <c r="F47" i="13"/>
  <c r="E47" i="13"/>
  <c r="D47" i="13"/>
  <c r="C47" i="13"/>
  <c r="I46" i="13"/>
  <c r="H46" i="13"/>
  <c r="G46" i="13"/>
  <c r="F46" i="13"/>
  <c r="E46" i="13"/>
  <c r="D46" i="13"/>
  <c r="C46" i="13"/>
  <c r="I41" i="13"/>
  <c r="H41" i="13"/>
  <c r="G41" i="13"/>
  <c r="F41" i="13"/>
  <c r="E41" i="13"/>
  <c r="D41" i="13"/>
  <c r="C41" i="13"/>
  <c r="H40" i="13"/>
  <c r="H39" i="13" s="1"/>
  <c r="G40" i="13"/>
  <c r="F40" i="13"/>
  <c r="F39" i="13" s="1"/>
  <c r="E40" i="13"/>
  <c r="E39" i="13" s="1"/>
  <c r="D40" i="13"/>
  <c r="D39" i="13" s="1"/>
  <c r="C40" i="13"/>
  <c r="C39" i="13" s="1"/>
  <c r="G39" i="13"/>
  <c r="K38" i="13"/>
  <c r="J38" i="13"/>
  <c r="I40" i="13" s="1"/>
  <c r="H38" i="13"/>
  <c r="G38" i="13"/>
  <c r="F38" i="13"/>
  <c r="E38" i="13"/>
  <c r="D38" i="13"/>
  <c r="C38" i="13"/>
  <c r="I47" i="12"/>
  <c r="H47" i="12"/>
  <c r="G47" i="12"/>
  <c r="F47" i="12"/>
  <c r="E47" i="12"/>
  <c r="D47" i="12"/>
  <c r="C47" i="12"/>
  <c r="I46" i="12"/>
  <c r="H46" i="12"/>
  <c r="G46" i="12"/>
  <c r="F46" i="12"/>
  <c r="E46" i="12"/>
  <c r="D46" i="12"/>
  <c r="C46" i="12"/>
  <c r="I41" i="12"/>
  <c r="H41" i="12"/>
  <c r="G41" i="12"/>
  <c r="F41" i="12"/>
  <c r="E41" i="12"/>
  <c r="D41" i="12"/>
  <c r="C41" i="12"/>
  <c r="I40" i="12"/>
  <c r="I39" i="12" s="1"/>
  <c r="H40" i="12"/>
  <c r="H39" i="12" s="1"/>
  <c r="G40" i="12"/>
  <c r="G39" i="12" s="1"/>
  <c r="F40" i="12"/>
  <c r="F39" i="12"/>
  <c r="K38" i="12"/>
  <c r="J38" i="12"/>
  <c r="E40" i="12" s="1"/>
  <c r="I38" i="12"/>
  <c r="H38" i="12"/>
  <c r="G38" i="12"/>
  <c r="F38" i="12"/>
  <c r="I47" i="11"/>
  <c r="H47" i="11"/>
  <c r="G47" i="11"/>
  <c r="F47" i="11"/>
  <c r="E47" i="11"/>
  <c r="D47" i="11"/>
  <c r="C47" i="11"/>
  <c r="I46" i="11"/>
  <c r="H46" i="11"/>
  <c r="G46" i="11"/>
  <c r="F46" i="11"/>
  <c r="E46" i="11"/>
  <c r="D46" i="11"/>
  <c r="C46" i="11"/>
  <c r="I41" i="11"/>
  <c r="H41" i="11"/>
  <c r="G41" i="11"/>
  <c r="F41" i="11"/>
  <c r="E41" i="11"/>
  <c r="D41" i="11"/>
  <c r="C41" i="11"/>
  <c r="H40" i="11"/>
  <c r="H39" i="11" s="1"/>
  <c r="G40" i="11"/>
  <c r="F40" i="11"/>
  <c r="F39" i="11" s="1"/>
  <c r="E40" i="11"/>
  <c r="E39" i="11" s="1"/>
  <c r="D40" i="11"/>
  <c r="D39" i="11" s="1"/>
  <c r="C40" i="11"/>
  <c r="C39" i="11" s="1"/>
  <c r="G39" i="11"/>
  <c r="K38" i="11"/>
  <c r="J38" i="11"/>
  <c r="I40" i="11" s="1"/>
  <c r="H38" i="11"/>
  <c r="G38" i="11"/>
  <c r="F38" i="11"/>
  <c r="E38" i="11"/>
  <c r="D38" i="11"/>
  <c r="C38" i="11"/>
  <c r="I47" i="10"/>
  <c r="H47" i="10"/>
  <c r="G47" i="10"/>
  <c r="F47" i="10"/>
  <c r="E47" i="10"/>
  <c r="D47" i="10"/>
  <c r="C47" i="10"/>
  <c r="I46" i="10"/>
  <c r="H46" i="10"/>
  <c r="G46" i="10"/>
  <c r="F46" i="10"/>
  <c r="E46" i="10"/>
  <c r="D46" i="10"/>
  <c r="C46" i="10"/>
  <c r="I41" i="10"/>
  <c r="H41" i="10"/>
  <c r="G41" i="10"/>
  <c r="F41" i="10"/>
  <c r="E41" i="10"/>
  <c r="D41" i="10"/>
  <c r="C41" i="10"/>
  <c r="I40" i="10"/>
  <c r="I39" i="10" s="1"/>
  <c r="H40" i="10"/>
  <c r="H39" i="10" s="1"/>
  <c r="G40" i="10"/>
  <c r="G39" i="10" s="1"/>
  <c r="F40" i="10"/>
  <c r="F39" i="10"/>
  <c r="K38" i="10"/>
  <c r="J38" i="10"/>
  <c r="D38" i="10" s="1"/>
  <c r="I38" i="10"/>
  <c r="H38" i="10"/>
  <c r="G38" i="10"/>
  <c r="F38" i="10"/>
  <c r="I47" i="9"/>
  <c r="H47" i="9"/>
  <c r="G47" i="9"/>
  <c r="F47" i="9"/>
  <c r="E47" i="9"/>
  <c r="D47" i="9"/>
  <c r="C47" i="9"/>
  <c r="I46" i="9"/>
  <c r="H46" i="9"/>
  <c r="G46" i="9"/>
  <c r="F46" i="9"/>
  <c r="E46" i="9"/>
  <c r="D46" i="9"/>
  <c r="C46" i="9"/>
  <c r="I41" i="9"/>
  <c r="H41" i="9"/>
  <c r="G41" i="9"/>
  <c r="F41" i="9"/>
  <c r="E41" i="9"/>
  <c r="D41" i="9"/>
  <c r="C41" i="9"/>
  <c r="H40" i="9"/>
  <c r="H39" i="9" s="1"/>
  <c r="G40" i="9"/>
  <c r="F40" i="9"/>
  <c r="F39" i="9" s="1"/>
  <c r="E40" i="9"/>
  <c r="E39" i="9" s="1"/>
  <c r="D40" i="9"/>
  <c r="D39" i="9" s="1"/>
  <c r="C40" i="9"/>
  <c r="C39" i="9" s="1"/>
  <c r="G39" i="9"/>
  <c r="K38" i="9"/>
  <c r="J38" i="9"/>
  <c r="I40" i="9" s="1"/>
  <c r="H38" i="9"/>
  <c r="G38" i="9"/>
  <c r="F38" i="9"/>
  <c r="E38" i="9"/>
  <c r="D38" i="9"/>
  <c r="C38" i="9"/>
  <c r="I47" i="8"/>
  <c r="H47" i="8"/>
  <c r="G47" i="8"/>
  <c r="F47" i="8"/>
  <c r="E47" i="8"/>
  <c r="D47" i="8"/>
  <c r="C47" i="8"/>
  <c r="I46" i="8"/>
  <c r="H46" i="8"/>
  <c r="G46" i="8"/>
  <c r="F46" i="8"/>
  <c r="E46" i="8"/>
  <c r="D46" i="8"/>
  <c r="C46" i="8"/>
  <c r="I41" i="8"/>
  <c r="H41" i="8"/>
  <c r="G41" i="8"/>
  <c r="F41" i="8"/>
  <c r="E41" i="8"/>
  <c r="D41" i="8"/>
  <c r="C41" i="8"/>
  <c r="I40" i="8"/>
  <c r="I39" i="8" s="1"/>
  <c r="H40" i="8"/>
  <c r="H39" i="8" s="1"/>
  <c r="G40" i="8"/>
  <c r="G39" i="8" s="1"/>
  <c r="F40" i="8"/>
  <c r="F39" i="8"/>
  <c r="K38" i="8"/>
  <c r="J38" i="8"/>
  <c r="D40" i="8" s="1"/>
  <c r="I38" i="8"/>
  <c r="H38" i="8"/>
  <c r="G38" i="8"/>
  <c r="F38" i="8"/>
  <c r="I47" i="7"/>
  <c r="H47" i="7"/>
  <c r="G47" i="7"/>
  <c r="F47" i="7"/>
  <c r="E47" i="7"/>
  <c r="D47" i="7"/>
  <c r="C47" i="7"/>
  <c r="I46" i="7"/>
  <c r="H46" i="7"/>
  <c r="G46" i="7"/>
  <c r="F46" i="7"/>
  <c r="E46" i="7"/>
  <c r="D46" i="7"/>
  <c r="C46" i="7"/>
  <c r="I41" i="7"/>
  <c r="H41" i="7"/>
  <c r="G41" i="7"/>
  <c r="F41" i="7"/>
  <c r="E41" i="7"/>
  <c r="D41" i="7"/>
  <c r="C41" i="7"/>
  <c r="H40" i="7"/>
  <c r="H39" i="7" s="1"/>
  <c r="G40" i="7"/>
  <c r="F40" i="7"/>
  <c r="F39" i="7" s="1"/>
  <c r="E40" i="7"/>
  <c r="E39" i="7" s="1"/>
  <c r="D40" i="7"/>
  <c r="D39" i="7" s="1"/>
  <c r="C40" i="7"/>
  <c r="C39" i="7" s="1"/>
  <c r="G39" i="7"/>
  <c r="K38" i="7"/>
  <c r="J38" i="7"/>
  <c r="I40" i="7" s="1"/>
  <c r="H38" i="7"/>
  <c r="G38" i="7"/>
  <c r="F38" i="7"/>
  <c r="E38" i="7"/>
  <c r="D38" i="7"/>
  <c r="C38" i="7"/>
  <c r="I47" i="6"/>
  <c r="H47" i="6"/>
  <c r="G47" i="6"/>
  <c r="F47" i="6"/>
  <c r="E47" i="6"/>
  <c r="D47" i="6"/>
  <c r="C47" i="6"/>
  <c r="I46" i="6"/>
  <c r="H46" i="6"/>
  <c r="G46" i="6"/>
  <c r="F46" i="6"/>
  <c r="E46" i="6"/>
  <c r="D46" i="6"/>
  <c r="C46" i="6"/>
  <c r="I41" i="6"/>
  <c r="H41" i="6"/>
  <c r="G41" i="6"/>
  <c r="F41" i="6"/>
  <c r="E41" i="6"/>
  <c r="D41" i="6"/>
  <c r="C41" i="6"/>
  <c r="I40" i="6"/>
  <c r="I39" i="6" s="1"/>
  <c r="H40" i="6"/>
  <c r="H39" i="6" s="1"/>
  <c r="G40" i="6"/>
  <c r="G39" i="6" s="1"/>
  <c r="F40" i="6"/>
  <c r="F39" i="6"/>
  <c r="K38" i="6"/>
  <c r="J38" i="6"/>
  <c r="E40" i="6" s="1"/>
  <c r="I38" i="6"/>
  <c r="H38" i="6"/>
  <c r="G38" i="6"/>
  <c r="F38" i="6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1" i="5"/>
  <c r="H41" i="5"/>
  <c r="G41" i="5"/>
  <c r="F41" i="5"/>
  <c r="E41" i="5"/>
  <c r="D41" i="5"/>
  <c r="C41" i="5"/>
  <c r="H40" i="5"/>
  <c r="H39" i="5" s="1"/>
  <c r="G40" i="5"/>
  <c r="F40" i="5"/>
  <c r="F39" i="5" s="1"/>
  <c r="E40" i="5"/>
  <c r="E39" i="5" s="1"/>
  <c r="D40" i="5"/>
  <c r="D39" i="5" s="1"/>
  <c r="C40" i="5"/>
  <c r="C39" i="5" s="1"/>
  <c r="G39" i="5"/>
  <c r="K38" i="5"/>
  <c r="J38" i="5"/>
  <c r="I40" i="5" s="1"/>
  <c r="H38" i="5"/>
  <c r="G38" i="5"/>
  <c r="F38" i="5"/>
  <c r="E38" i="5"/>
  <c r="D38" i="5"/>
  <c r="C38" i="5"/>
  <c r="I47" i="4"/>
  <c r="H47" i="4"/>
  <c r="G47" i="4"/>
  <c r="F47" i="4"/>
  <c r="E47" i="4"/>
  <c r="D47" i="4"/>
  <c r="C47" i="4"/>
  <c r="I46" i="4"/>
  <c r="H46" i="4"/>
  <c r="G46" i="4"/>
  <c r="F46" i="4"/>
  <c r="E46" i="4"/>
  <c r="D46" i="4"/>
  <c r="C46" i="4"/>
  <c r="I41" i="4"/>
  <c r="H41" i="4"/>
  <c r="G41" i="4"/>
  <c r="F41" i="4"/>
  <c r="E41" i="4"/>
  <c r="D41" i="4"/>
  <c r="C41" i="4"/>
  <c r="I40" i="4"/>
  <c r="I39" i="4" s="1"/>
  <c r="H40" i="4"/>
  <c r="H39" i="4" s="1"/>
  <c r="G40" i="4"/>
  <c r="G39" i="4" s="1"/>
  <c r="F40" i="4"/>
  <c r="F39" i="4"/>
  <c r="K38" i="4"/>
  <c r="J38" i="4"/>
  <c r="D40" i="4" s="1"/>
  <c r="I38" i="4"/>
  <c r="H38" i="4"/>
  <c r="G38" i="4"/>
  <c r="F38" i="4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1" i="3"/>
  <c r="H41" i="3"/>
  <c r="G41" i="3"/>
  <c r="F41" i="3"/>
  <c r="E41" i="3"/>
  <c r="D41" i="3"/>
  <c r="C41" i="3"/>
  <c r="H40" i="3"/>
  <c r="H39" i="3" s="1"/>
  <c r="G40" i="3"/>
  <c r="F40" i="3"/>
  <c r="F39" i="3" s="1"/>
  <c r="E40" i="3"/>
  <c r="E39" i="3" s="1"/>
  <c r="D40" i="3"/>
  <c r="D39" i="3" s="1"/>
  <c r="C40" i="3"/>
  <c r="C39" i="3" s="1"/>
  <c r="G39" i="3"/>
  <c r="K38" i="3"/>
  <c r="J38" i="3"/>
  <c r="I40" i="3" s="1"/>
  <c r="H38" i="3"/>
  <c r="G38" i="3"/>
  <c r="F38" i="3"/>
  <c r="E38" i="3"/>
  <c r="D38" i="3"/>
  <c r="C38" i="3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1" i="2"/>
  <c r="H41" i="2"/>
  <c r="G41" i="2"/>
  <c r="F41" i="2"/>
  <c r="E41" i="2"/>
  <c r="D41" i="2"/>
  <c r="C41" i="2"/>
  <c r="I40" i="2"/>
  <c r="I39" i="2" s="1"/>
  <c r="H40" i="2"/>
  <c r="H39" i="2" s="1"/>
  <c r="G40" i="2"/>
  <c r="G39" i="2" s="1"/>
  <c r="F40" i="2"/>
  <c r="F39" i="2"/>
  <c r="K38" i="2"/>
  <c r="J38" i="2"/>
  <c r="E40" i="2" s="1"/>
  <c r="I38" i="2"/>
  <c r="H38" i="2"/>
  <c r="G38" i="2"/>
  <c r="F38" i="2"/>
  <c r="E39" i="2" l="1"/>
  <c r="D39" i="14"/>
  <c r="I39" i="5"/>
  <c r="E39" i="6"/>
  <c r="I39" i="3"/>
  <c r="I39" i="11"/>
  <c r="I39" i="15"/>
  <c r="C38" i="2"/>
  <c r="C40" i="2"/>
  <c r="C39" i="2" s="1"/>
  <c r="C38" i="4"/>
  <c r="C40" i="4"/>
  <c r="C39" i="4" s="1"/>
  <c r="C38" i="6"/>
  <c r="C40" i="6"/>
  <c r="C39" i="6" s="1"/>
  <c r="C38" i="8"/>
  <c r="C40" i="8"/>
  <c r="C38" i="10"/>
  <c r="C40" i="10"/>
  <c r="C39" i="10" s="1"/>
  <c r="C38" i="12"/>
  <c r="C40" i="12"/>
  <c r="C39" i="12" s="1"/>
  <c r="C38" i="14"/>
  <c r="C40" i="14"/>
  <c r="C39" i="14" s="1"/>
  <c r="C38" i="16"/>
  <c r="C40" i="16"/>
  <c r="C38" i="18"/>
  <c r="C40" i="18"/>
  <c r="C39" i="18" s="1"/>
  <c r="D38" i="2"/>
  <c r="D40" i="2"/>
  <c r="D39" i="2" s="1"/>
  <c r="D38" i="4"/>
  <c r="D39" i="4" s="1"/>
  <c r="D38" i="6"/>
  <c r="D40" i="6"/>
  <c r="D39" i="6" s="1"/>
  <c r="D40" i="10"/>
  <c r="D39" i="10" s="1"/>
  <c r="D38" i="12"/>
  <c r="D40" i="12"/>
  <c r="D39" i="12" s="1"/>
  <c r="D38" i="14"/>
  <c r="D38" i="16"/>
  <c r="D40" i="16"/>
  <c r="D39" i="16" s="1"/>
  <c r="D38" i="18"/>
  <c r="D40" i="18"/>
  <c r="D39" i="18" s="1"/>
  <c r="E38" i="2"/>
  <c r="I38" i="3"/>
  <c r="E38" i="4"/>
  <c r="E40" i="4"/>
  <c r="E39" i="4" s="1"/>
  <c r="I38" i="5"/>
  <c r="E38" i="6"/>
  <c r="I38" i="7"/>
  <c r="I39" i="7" s="1"/>
  <c r="E38" i="8"/>
  <c r="E40" i="8"/>
  <c r="I38" i="9"/>
  <c r="I39" i="9" s="1"/>
  <c r="E38" i="10"/>
  <c r="E40" i="10"/>
  <c r="E39" i="10" s="1"/>
  <c r="I38" i="11"/>
  <c r="E38" i="12"/>
  <c r="E39" i="12" s="1"/>
  <c r="I38" i="13"/>
  <c r="I39" i="13" s="1"/>
  <c r="E38" i="14"/>
  <c r="E40" i="14"/>
  <c r="I38" i="15"/>
  <c r="E38" i="16"/>
  <c r="E39" i="16" s="1"/>
  <c r="I38" i="17"/>
  <c r="I39" i="17" s="1"/>
  <c r="E38" i="18"/>
  <c r="E39" i="18" s="1"/>
  <c r="I38" i="19"/>
  <c r="I39" i="19" s="1"/>
  <c r="D38" i="8"/>
  <c r="D39" i="8" s="1"/>
  <c r="E39" i="14" l="1"/>
  <c r="E39" i="8"/>
  <c r="C39" i="16"/>
  <c r="C39" i="8"/>
</calcChain>
</file>

<file path=xl/sharedStrings.xml><?xml version="1.0" encoding="utf-8"?>
<sst xmlns="http://schemas.openxmlformats.org/spreadsheetml/2006/main" count="951" uniqueCount="51">
  <si>
    <t>Serialization</t>
  </si>
  <si>
    <t>Both</t>
  </si>
  <si>
    <t>Newtonsoft.Json</t>
  </si>
  <si>
    <t>Deserialization</t>
  </si>
  <si>
    <t>Serialization data:</t>
  </si>
  <si>
    <t>Average</t>
  </si>
  <si>
    <t>Deviation</t>
  </si>
  <si>
    <t>Serialization and deserialization data:</t>
  </si>
  <si>
    <t>Size</t>
  </si>
  <si>
    <t>Newtonsoft (duration)</t>
  </si>
  <si>
    <t>Newtonsoft (size)</t>
  </si>
  <si>
    <t>Protobuf.NET</t>
  </si>
  <si>
    <t>Jackson</t>
  </si>
  <si>
    <t>JVM baked full</t>
  </si>
  <si>
    <t>JVM baked minimal</t>
  </si>
  <si>
    <t>.Net baked full</t>
  </si>
  <si>
    <t>.Net baked minimal</t>
  </si>
  <si>
    <t>.NET baked full (duration)</t>
  </si>
  <si>
    <t>.NET baked full (size)</t>
  </si>
  <si>
    <t>.NET baked minimal (duration)</t>
  </si>
  <si>
    <t>.NET baked minimal (size)</t>
  </si>
  <si>
    <t>Jackson (duration)</t>
  </si>
  <si>
    <t>Jackson (size)</t>
  </si>
  <si>
    <t>JVM baked full (duration)</t>
  </si>
  <si>
    <t>JVM baked full (size)</t>
  </si>
  <si>
    <t>JVM baked minimal (duration)</t>
  </si>
  <si>
    <t>Protobuf.NET (size)</t>
  </si>
  <si>
    <t>Protobuf.NET (duration)</t>
  </si>
  <si>
    <t>JVM baked minimal (size)</t>
  </si>
  <si>
    <t>.NET (instance only)</t>
  </si>
  <si>
    <t>JVM (instance only)</t>
  </si>
  <si>
    <t>Startup times: SmallObject.Message</t>
  </si>
  <si>
    <t>Startup times: LargeObjects.Book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</si>
  <si>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</si>
  <si>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</si>
  <si>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</si>
  <si>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</si>
  <si>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</si>
  <si>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</si>
  <si>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</si>
  <si>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</si>
  <si>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</si>
  <si>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</si>
  <si>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</si>
  <si>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</si>
  <si>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</si>
  <si>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</si>
  <si>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</si>
  <si>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</si>
  <si>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</si>
  <si>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r>
      <rPr>
        <b/>
        <sz val="11"/>
        <rFont val="Calibri"/>
      </rPr>
      <t>Unlicensed version. Please register @ templater.info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</si>
</sst>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0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Sheet1!$C$38:$K$38</c:f>
              <c:numCache>
                <c:formatCode>#,##0.0</c:formatCode>
                <c:ptCount val="9"/>
                <c:pt idx="0">
                  <c:v>53.666666666666664</c:v>
                </c:pt>
                <c:pt idx="1">
                  <c:v>2</c:v>
                </c:pt>
                <c:pt idx="2">
                  <c:v>2</c:v>
                </c:pt>
                <c:pt idx="3">
                  <c:v>40.333333333333336</c:v>
                </c:pt>
                <c:pt idx="4">
                  <c:v>1.3333333333333333</c:v>
                </c:pt>
                <c:pt idx="5">
                  <c:v>1</c:v>
                </c:pt>
                <c:pt idx="6">
                  <c:v>22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Sheet1!$C$39:$K$39</c:f>
              <c:numCache>
                <c:formatCode>#,##0.0</c:formatCode>
                <c:ptCount val="9"/>
                <c:pt idx="0">
                  <c:v>11.333333333333336</c:v>
                </c:pt>
                <c:pt idx="1">
                  <c:v>7</c:v>
                </c:pt>
                <c:pt idx="2">
                  <c:v>7</c:v>
                </c:pt>
                <c:pt idx="3">
                  <c:v>21.333333333333329</c:v>
                </c:pt>
                <c:pt idx="4">
                  <c:v>2.333333333333333</c:v>
                </c:pt>
                <c:pt idx="5">
                  <c:v>1</c:v>
                </c:pt>
                <c:pt idx="6">
                  <c:v>2.3333333333333321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17504"/>
        <c:axId val="156519040"/>
      </c:barChart>
      <c:catAx>
        <c:axId val="156517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519040"/>
        <c:crosses val="autoZero"/>
        <c:auto val="1"/>
        <c:lblAlgn val="ctr"/>
        <c:lblOffset val="100"/>
        <c:noMultiLvlLbl val="0"/>
      </c:catAx>
      <c:valAx>
        <c:axId val="15651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651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Sheet5!$C$37:$I$37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Sheet5!$C$41:$I$41</c:f>
              <c:numCache>
                <c:formatCode>#,##0</c:formatCode>
                <c:ptCount val="7"/>
                <c:pt idx="0">
                  <c:v>517777768</c:v>
                </c:pt>
                <c:pt idx="1">
                  <c:v>517777780</c:v>
                </c:pt>
                <c:pt idx="2">
                  <c:v>517777768</c:v>
                </c:pt>
                <c:pt idx="3">
                  <c:v>517777780</c:v>
                </c:pt>
                <c:pt idx="4">
                  <c:v>517777780</c:v>
                </c:pt>
                <c:pt idx="5">
                  <c:v>517777768</c:v>
                </c:pt>
                <c:pt idx="6">
                  <c:v>266775224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62880"/>
        <c:axId val="158764416"/>
      </c:barChart>
      <c:catAx>
        <c:axId val="158762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764416"/>
        <c:crosses val="autoZero"/>
        <c:auto val="1"/>
        <c:lblAlgn val="ctr"/>
        <c:lblOffset val="100"/>
        <c:noMultiLvlLbl val="0"/>
      </c:catAx>
      <c:valAx>
        <c:axId val="15876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87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Sheet6!$C$38:$K$38</c:f>
              <c:numCache>
                <c:formatCode>#,##0.0</c:formatCode>
                <c:ptCount val="9"/>
                <c:pt idx="0">
                  <c:v>258</c:v>
                </c:pt>
                <c:pt idx="1">
                  <c:v>107.33333333333334</c:v>
                </c:pt>
                <c:pt idx="2">
                  <c:v>97.666666666666671</c:v>
                </c:pt>
                <c:pt idx="3">
                  <c:v>191.33333333333334</c:v>
                </c:pt>
                <c:pt idx="4">
                  <c:v>158.66666666666666</c:v>
                </c:pt>
                <c:pt idx="5">
                  <c:v>158.33333333333334</c:v>
                </c:pt>
                <c:pt idx="6">
                  <c:v>49.666666666666671</c:v>
                </c:pt>
                <c:pt idx="7">
                  <c:v>24</c:v>
                </c:pt>
                <c:pt idx="8">
                  <c:v>83.666666666666671</c:v>
                </c:pt>
              </c:numCache>
            </c:numRef>
          </c:val>
        </c:ser>
        <c:ser>
          <c:idx val="1"/>
          <c:order val="1"/>
          <c:tx>
            <c:strRef>
              <c:f>Sheet6!$B$39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Sheet6!$C$39:$K$39</c:f>
              <c:numCache>
                <c:formatCode>#,##0.0</c:formatCode>
                <c:ptCount val="9"/>
                <c:pt idx="0">
                  <c:v>674.33333333333337</c:v>
                </c:pt>
                <c:pt idx="1">
                  <c:v>879.66666666666663</c:v>
                </c:pt>
                <c:pt idx="2">
                  <c:v>888.33333333333337</c:v>
                </c:pt>
                <c:pt idx="3">
                  <c:v>116.99999999999997</c:v>
                </c:pt>
                <c:pt idx="4">
                  <c:v>44.333333333333343</c:v>
                </c:pt>
                <c:pt idx="5">
                  <c:v>45.333333333333314</c:v>
                </c:pt>
                <c:pt idx="6">
                  <c:v>66.999999999999986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00928"/>
        <c:axId val="159506816"/>
      </c:barChart>
      <c:catAx>
        <c:axId val="15950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506816"/>
        <c:crosses val="autoZero"/>
        <c:auto val="1"/>
        <c:lblAlgn val="ctr"/>
        <c:lblOffset val="100"/>
        <c:noMultiLvlLbl val="0"/>
      </c:catAx>
      <c:valAx>
        <c:axId val="15950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95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Sheet6!$C$37:$I$37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Sheet6!$C$41:$I$41</c:f>
              <c:numCache>
                <c:formatCode>#,##0</c:formatCode>
                <c:ptCount val="7"/>
                <c:pt idx="0">
                  <c:v>5725322</c:v>
                </c:pt>
                <c:pt idx="1">
                  <c:v>5724943</c:v>
                </c:pt>
                <c:pt idx="2">
                  <c:v>5724926</c:v>
                </c:pt>
                <c:pt idx="3">
                  <c:v>4477194</c:v>
                </c:pt>
                <c:pt idx="4">
                  <c:v>4477190</c:v>
                </c:pt>
                <c:pt idx="5">
                  <c:v>4477173</c:v>
                </c:pt>
                <c:pt idx="6">
                  <c:v>2921810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76416"/>
        <c:axId val="158877952"/>
      </c:barChart>
      <c:catAx>
        <c:axId val="158876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877952"/>
        <c:crosses val="autoZero"/>
        <c:auto val="1"/>
        <c:lblAlgn val="ctr"/>
        <c:lblOffset val="100"/>
        <c:noMultiLvlLbl val="0"/>
      </c:catAx>
      <c:valAx>
        <c:axId val="15887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887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Sheet7!$C$38:$K$38</c:f>
              <c:numCache>
                <c:formatCode>#,##0.0</c:formatCode>
                <c:ptCount val="9"/>
                <c:pt idx="0">
                  <c:v>2667.6666666666665</c:v>
                </c:pt>
                <c:pt idx="1">
                  <c:v>1088.3333333333333</c:v>
                </c:pt>
                <c:pt idx="2">
                  <c:v>989.33333333333326</c:v>
                </c:pt>
                <c:pt idx="3">
                  <c:v>974</c:v>
                </c:pt>
                <c:pt idx="4">
                  <c:v>779</c:v>
                </c:pt>
                <c:pt idx="5">
                  <c:v>791</c:v>
                </c:pt>
                <c:pt idx="6">
                  <c:v>461.33333333333337</c:v>
                </c:pt>
                <c:pt idx="7">
                  <c:v>239</c:v>
                </c:pt>
                <c:pt idx="8">
                  <c:v>396.33333333333331</c:v>
                </c:pt>
              </c:numCache>
            </c:numRef>
          </c:val>
        </c:ser>
        <c:ser>
          <c:idx val="1"/>
          <c:order val="1"/>
          <c:tx>
            <c:strRef>
              <c:f>Sheet7!$B$39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Sheet7!$C$39:$K$39</c:f>
              <c:numCache>
                <c:formatCode>#,##0.0</c:formatCode>
                <c:ptCount val="9"/>
                <c:pt idx="0">
                  <c:v>6941.6666666666679</c:v>
                </c:pt>
                <c:pt idx="1">
                  <c:v>8566.6666666666661</c:v>
                </c:pt>
                <c:pt idx="2">
                  <c:v>8575.6666666666661</c:v>
                </c:pt>
                <c:pt idx="3">
                  <c:v>663.66666666666674</c:v>
                </c:pt>
                <c:pt idx="4">
                  <c:v>363.66666666666674</c:v>
                </c:pt>
                <c:pt idx="5">
                  <c:v>354.33333333333326</c:v>
                </c:pt>
                <c:pt idx="6">
                  <c:v>612.33333333333337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86080"/>
        <c:axId val="159087616"/>
      </c:barChart>
      <c:catAx>
        <c:axId val="15908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087616"/>
        <c:crosses val="autoZero"/>
        <c:auto val="1"/>
        <c:lblAlgn val="ctr"/>
        <c:lblOffset val="100"/>
        <c:noMultiLvlLbl val="0"/>
      </c:catAx>
      <c:valAx>
        <c:axId val="159087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908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Sheet7!$C$37:$I$37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Sheet7!$C$41:$I$41</c:f>
              <c:numCache>
                <c:formatCode>#,##0</c:formatCode>
                <c:ptCount val="7"/>
                <c:pt idx="0">
                  <c:v>59249265</c:v>
                </c:pt>
                <c:pt idx="1">
                  <c:v>59245286</c:v>
                </c:pt>
                <c:pt idx="2">
                  <c:v>59245269</c:v>
                </c:pt>
                <c:pt idx="3">
                  <c:v>46514394</c:v>
                </c:pt>
                <c:pt idx="4">
                  <c:v>46514390</c:v>
                </c:pt>
                <c:pt idx="5">
                  <c:v>46514373</c:v>
                </c:pt>
                <c:pt idx="6">
                  <c:v>29374542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20768"/>
        <c:axId val="159921280"/>
      </c:barChart>
      <c:catAx>
        <c:axId val="15912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921280"/>
        <c:crosses val="autoZero"/>
        <c:auto val="1"/>
        <c:lblAlgn val="ctr"/>
        <c:lblOffset val="100"/>
        <c:noMultiLvlLbl val="0"/>
      </c:catAx>
      <c:valAx>
        <c:axId val="15992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912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Sheet8!$C$38:$K$38</c:f>
              <c:numCache>
                <c:formatCode>#,##0.0</c:formatCode>
                <c:ptCount val="9"/>
                <c:pt idx="0">
                  <c:v>25441.666666666668</c:v>
                </c:pt>
                <c:pt idx="1">
                  <c:v>10225.666666666666</c:v>
                </c:pt>
                <c:pt idx="2">
                  <c:v>9965.3333333333321</c:v>
                </c:pt>
                <c:pt idx="3">
                  <c:v>8539.3333333333339</c:v>
                </c:pt>
                <c:pt idx="4">
                  <c:v>6829.333333333333</c:v>
                </c:pt>
                <c:pt idx="5">
                  <c:v>6776</c:v>
                </c:pt>
                <c:pt idx="6">
                  <c:v>4602.6666666666661</c:v>
                </c:pt>
                <c:pt idx="7">
                  <c:v>2366.3333333333335</c:v>
                </c:pt>
                <c:pt idx="8">
                  <c:v>3182</c:v>
                </c:pt>
              </c:numCache>
            </c:numRef>
          </c:val>
        </c:ser>
        <c:ser>
          <c:idx val="1"/>
          <c:order val="1"/>
          <c:tx>
            <c:strRef>
              <c:f>Sheet8!$B$39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Sheet8!$C$39:$K$39</c:f>
              <c:numCache>
                <c:formatCode>#,##0.0</c:formatCode>
                <c:ptCount val="9"/>
                <c:pt idx="0">
                  <c:v>61077.666666666672</c:v>
                </c:pt>
                <c:pt idx="1">
                  <c:v>85947.333333333328</c:v>
                </c:pt>
                <c:pt idx="2">
                  <c:v>85932.666666666672</c:v>
                </c:pt>
                <c:pt idx="3">
                  <c:v>5868.3333333333321</c:v>
                </c:pt>
                <c:pt idx="4">
                  <c:v>3341.333333333333</c:v>
                </c:pt>
                <c:pt idx="5">
                  <c:v>3362.3333333333339</c:v>
                </c:pt>
                <c:pt idx="6">
                  <c:v>6199.3333333333339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85344"/>
        <c:axId val="159786880"/>
      </c:barChart>
      <c:catAx>
        <c:axId val="159785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786880"/>
        <c:crosses val="autoZero"/>
        <c:auto val="1"/>
        <c:lblAlgn val="ctr"/>
        <c:lblOffset val="100"/>
        <c:noMultiLvlLbl val="0"/>
      </c:catAx>
      <c:valAx>
        <c:axId val="15978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978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Sheet8!$C$37:$I$37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Sheet8!$C$41:$I$41</c:f>
              <c:numCache>
                <c:formatCode>#,##0</c:formatCode>
                <c:ptCount val="7"/>
                <c:pt idx="0">
                  <c:v>612560699</c:v>
                </c:pt>
                <c:pt idx="1">
                  <c:v>612520720</c:v>
                </c:pt>
                <c:pt idx="2">
                  <c:v>612520703</c:v>
                </c:pt>
                <c:pt idx="3">
                  <c:v>471015610</c:v>
                </c:pt>
                <c:pt idx="4">
                  <c:v>471015606</c:v>
                </c:pt>
                <c:pt idx="5">
                  <c:v>471015589</c:v>
                </c:pt>
                <c:pt idx="6">
                  <c:v>301846216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7744"/>
        <c:axId val="159825920"/>
      </c:barChart>
      <c:catAx>
        <c:axId val="159807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825920"/>
        <c:crosses val="autoZero"/>
        <c:auto val="1"/>
        <c:lblAlgn val="ctr"/>
        <c:lblOffset val="100"/>
        <c:noMultiLvlLbl val="0"/>
      </c:catAx>
      <c:valAx>
        <c:axId val="15982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98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Sheet9!$C$38:$K$38</c:f>
              <c:numCache>
                <c:formatCode>#,##0.0</c:formatCode>
                <c:ptCount val="9"/>
                <c:pt idx="0">
                  <c:v>1564.3333333333335</c:v>
                </c:pt>
                <c:pt idx="1">
                  <c:v>321.66666666666669</c:v>
                </c:pt>
                <c:pt idx="2">
                  <c:v>316</c:v>
                </c:pt>
                <c:pt idx="3">
                  <c:v>196.33333333333334</c:v>
                </c:pt>
                <c:pt idx="4">
                  <c:v>132.33333333333334</c:v>
                </c:pt>
                <c:pt idx="5">
                  <c:v>136</c:v>
                </c:pt>
                <c:pt idx="6">
                  <c:v>80.333333333333329</c:v>
                </c:pt>
                <c:pt idx="7">
                  <c:v>86.333333333333329</c:v>
                </c:pt>
                <c:pt idx="8">
                  <c:v>65.333333333333329</c:v>
                </c:pt>
              </c:numCache>
            </c:numRef>
          </c:val>
        </c:ser>
        <c:ser>
          <c:idx val="1"/>
          <c:order val="1"/>
          <c:tx>
            <c:strRef>
              <c:f>Sheet9!$B$39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Sheet9!$C$39:$K$39</c:f>
              <c:numCache>
                <c:formatCode>#,##0.0</c:formatCode>
                <c:ptCount val="9"/>
                <c:pt idx="0">
                  <c:v>1984.333333333333</c:v>
                </c:pt>
                <c:pt idx="1">
                  <c:v>166.66666666666663</c:v>
                </c:pt>
                <c:pt idx="2">
                  <c:v>184.00000000000006</c:v>
                </c:pt>
                <c:pt idx="3">
                  <c:v>289.33333333333337</c:v>
                </c:pt>
                <c:pt idx="4">
                  <c:v>43</c:v>
                </c:pt>
                <c:pt idx="5">
                  <c:v>32.333333333333343</c:v>
                </c:pt>
                <c:pt idx="6">
                  <c:v>201.66666666666669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96640"/>
        <c:axId val="158688000"/>
      </c:barChart>
      <c:catAx>
        <c:axId val="16049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688000"/>
        <c:crosses val="autoZero"/>
        <c:auto val="1"/>
        <c:lblAlgn val="ctr"/>
        <c:lblOffset val="100"/>
        <c:noMultiLvlLbl val="0"/>
      </c:catAx>
      <c:valAx>
        <c:axId val="15868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04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Sheet9!$C$37:$I$37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Sheet9!$C$41:$I$41</c:f>
              <c:numCache>
                <c:formatCode>#,##0</c:formatCode>
                <c:ptCount val="7"/>
                <c:pt idx="0">
                  <c:v>12968475.666666666</c:v>
                </c:pt>
                <c:pt idx="1">
                  <c:v>11469863.666666666</c:v>
                </c:pt>
                <c:pt idx="2">
                  <c:v>11469908.333333334</c:v>
                </c:pt>
                <c:pt idx="3">
                  <c:v>11025974</c:v>
                </c:pt>
                <c:pt idx="4">
                  <c:v>11025975</c:v>
                </c:pt>
                <c:pt idx="5">
                  <c:v>10325975</c:v>
                </c:pt>
                <c:pt idx="6">
                  <c:v>7178564.666666667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17056"/>
        <c:axId val="158718592"/>
      </c:barChart>
      <c:catAx>
        <c:axId val="158717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718592"/>
        <c:crosses val="autoZero"/>
        <c:auto val="1"/>
        <c:lblAlgn val="ctr"/>
        <c:lblOffset val="100"/>
        <c:noMultiLvlLbl val="0"/>
      </c:catAx>
      <c:valAx>
        <c:axId val="15871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87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Sheet10!$C$38:$K$38</c:f>
              <c:numCache>
                <c:formatCode>#,##0.0</c:formatCode>
                <c:ptCount val="9"/>
                <c:pt idx="0">
                  <c:v>16131.666666666666</c:v>
                </c:pt>
                <c:pt idx="1">
                  <c:v>3455.0000000000005</c:v>
                </c:pt>
                <c:pt idx="2">
                  <c:v>3305.3333333333335</c:v>
                </c:pt>
                <c:pt idx="3">
                  <c:v>1016</c:v>
                </c:pt>
                <c:pt idx="4">
                  <c:v>642</c:v>
                </c:pt>
                <c:pt idx="5">
                  <c:v>634.66666666666663</c:v>
                </c:pt>
                <c:pt idx="6">
                  <c:v>784.00000000000011</c:v>
                </c:pt>
                <c:pt idx="7">
                  <c:v>872.66666666666663</c:v>
                </c:pt>
                <c:pt idx="8">
                  <c:v>312</c:v>
                </c:pt>
              </c:numCache>
            </c:numRef>
          </c:val>
        </c:ser>
        <c:ser>
          <c:idx val="1"/>
          <c:order val="1"/>
          <c:tx>
            <c:strRef>
              <c:f>Sheet10!$B$39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Sheet10!$C$39:$K$39</c:f>
              <c:numCache>
                <c:formatCode>#,##0.0</c:formatCode>
                <c:ptCount val="9"/>
                <c:pt idx="0">
                  <c:v>19961.666666666672</c:v>
                </c:pt>
                <c:pt idx="1">
                  <c:v>1793.9999999999995</c:v>
                </c:pt>
                <c:pt idx="2">
                  <c:v>1767.9999999999995</c:v>
                </c:pt>
                <c:pt idx="3">
                  <c:v>1718.3333333333335</c:v>
                </c:pt>
                <c:pt idx="4">
                  <c:v>378.33333333333337</c:v>
                </c:pt>
                <c:pt idx="5">
                  <c:v>327</c:v>
                </c:pt>
                <c:pt idx="6">
                  <c:v>2109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60736"/>
        <c:axId val="161062272"/>
      </c:barChart>
      <c:catAx>
        <c:axId val="161060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062272"/>
        <c:crosses val="autoZero"/>
        <c:auto val="1"/>
        <c:lblAlgn val="ctr"/>
        <c:lblOffset val="100"/>
        <c:noMultiLvlLbl val="0"/>
      </c:catAx>
      <c:valAx>
        <c:axId val="16106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106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Sheet1!$C$41:$I$41</c:f>
              <c:numCache>
                <c:formatCode>#,##0</c:formatCode>
                <c:ptCount val="7"/>
                <c:pt idx="0">
                  <c:v>28</c:v>
                </c:pt>
                <c:pt idx="1">
                  <c:v>40</c:v>
                </c:pt>
                <c:pt idx="2">
                  <c:v>28</c:v>
                </c:pt>
                <c:pt idx="3">
                  <c:v>40</c:v>
                </c:pt>
                <c:pt idx="4">
                  <c:v>40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44000"/>
        <c:axId val="156562176"/>
      </c:barChart>
      <c:catAx>
        <c:axId val="156544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562176"/>
        <c:crosses val="autoZero"/>
        <c:auto val="1"/>
        <c:lblAlgn val="ctr"/>
        <c:lblOffset val="100"/>
        <c:noMultiLvlLbl val="0"/>
      </c:catAx>
      <c:valAx>
        <c:axId val="15656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654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Sheet10!$B$41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Sheet10!$C$37:$I$37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Sheet10!$C$41:$I$41</c:f>
              <c:numCache>
                <c:formatCode>#,##0</c:formatCode>
                <c:ptCount val="7"/>
                <c:pt idx="0">
                  <c:v>132634103.66666667</c:v>
                </c:pt>
                <c:pt idx="1">
                  <c:v>117589393</c:v>
                </c:pt>
                <c:pt idx="2">
                  <c:v>117589716.33333333</c:v>
                </c:pt>
                <c:pt idx="3">
                  <c:v>112260134</c:v>
                </c:pt>
                <c:pt idx="4">
                  <c:v>112260150</c:v>
                </c:pt>
                <c:pt idx="5">
                  <c:v>105260150</c:v>
                </c:pt>
                <c:pt idx="6">
                  <c:v>73806082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18144"/>
        <c:axId val="160519680"/>
      </c:barChart>
      <c:catAx>
        <c:axId val="160518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519680"/>
        <c:crosses val="autoZero"/>
        <c:auto val="1"/>
        <c:lblAlgn val="ctr"/>
        <c:lblOffset val="100"/>
        <c:noMultiLvlLbl val="0"/>
      </c:catAx>
      <c:valAx>
        <c:axId val="16051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605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Sheet11!$C$38:$K$38</c:f>
              <c:numCache>
                <c:formatCode>#,##0.0</c:formatCode>
                <c:ptCount val="9"/>
                <c:pt idx="0">
                  <c:v>190784.33333333334</c:v>
                </c:pt>
                <c:pt idx="1">
                  <c:v>35164</c:v>
                </c:pt>
                <c:pt idx="2">
                  <c:v>34824.666666666672</c:v>
                </c:pt>
                <c:pt idx="3">
                  <c:v>9364.3333333333339</c:v>
                </c:pt>
                <c:pt idx="4">
                  <c:v>6123.666666666667</c:v>
                </c:pt>
                <c:pt idx="5">
                  <c:v>5991.333333333333</c:v>
                </c:pt>
                <c:pt idx="6">
                  <c:v>7820.6666666666661</c:v>
                </c:pt>
                <c:pt idx="7">
                  <c:v>8884.6666666666661</c:v>
                </c:pt>
                <c:pt idx="8">
                  <c:v>2690</c:v>
                </c:pt>
              </c:numCache>
            </c:numRef>
          </c:val>
        </c:ser>
        <c:ser>
          <c:idx val="1"/>
          <c:order val="1"/>
          <c:tx>
            <c:strRef>
              <c:f>Sheet11!$B$39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Sheet11!$C$39:$K$39</c:f>
              <c:numCache>
                <c:formatCode>#,##0.0</c:formatCode>
                <c:ptCount val="9"/>
                <c:pt idx="0">
                  <c:v>230260.66666666666</c:v>
                </c:pt>
                <c:pt idx="1">
                  <c:v>18071.333333333336</c:v>
                </c:pt>
                <c:pt idx="2">
                  <c:v>18004.666666666664</c:v>
                </c:pt>
                <c:pt idx="3">
                  <c:v>16171.666666666666</c:v>
                </c:pt>
                <c:pt idx="4">
                  <c:v>3798.9999999999991</c:v>
                </c:pt>
                <c:pt idx="5">
                  <c:v>3429.333333333333</c:v>
                </c:pt>
                <c:pt idx="6">
                  <c:v>19896.666666666672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70464"/>
        <c:axId val="160672000"/>
      </c:barChart>
      <c:catAx>
        <c:axId val="16067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672000"/>
        <c:crosses val="autoZero"/>
        <c:auto val="1"/>
        <c:lblAlgn val="ctr"/>
        <c:lblOffset val="100"/>
        <c:noMultiLvlLbl val="0"/>
      </c:catAx>
      <c:valAx>
        <c:axId val="16067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06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Sheet11!$C$37:$I$37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Sheet11!$C$41:$I$41</c:f>
              <c:numCache>
                <c:formatCode>#,##0</c:formatCode>
                <c:ptCount val="7"/>
                <c:pt idx="0">
                  <c:v>1356316745.3333333</c:v>
                </c:pt>
                <c:pt idx="1">
                  <c:v>1206153193.3333333</c:v>
                </c:pt>
                <c:pt idx="2">
                  <c:v>1206160423</c:v>
                </c:pt>
                <c:pt idx="3">
                  <c:v>1142605274</c:v>
                </c:pt>
                <c:pt idx="4">
                  <c:v>1142605277</c:v>
                </c:pt>
                <c:pt idx="5">
                  <c:v>1072605277</c:v>
                </c:pt>
                <c:pt idx="6">
                  <c:v>757014162.66666663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41888"/>
        <c:axId val="159543680"/>
      </c:barChart>
      <c:catAx>
        <c:axId val="159541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543680"/>
        <c:crosses val="autoZero"/>
        <c:auto val="1"/>
        <c:lblAlgn val="ctr"/>
        <c:lblOffset val="100"/>
        <c:noMultiLvlLbl val="0"/>
      </c:catAx>
      <c:valAx>
        <c:axId val="15954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95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Sheet12!$C$38:$K$38</c:f>
              <c:numCache>
                <c:formatCode>#,##0.0</c:formatCode>
                <c:ptCount val="9"/>
                <c:pt idx="0">
                  <c:v>107</c:v>
                </c:pt>
                <c:pt idx="1">
                  <c:v>30</c:v>
                </c:pt>
                <c:pt idx="2">
                  <c:v>28.333333333333332</c:v>
                </c:pt>
                <c:pt idx="3">
                  <c:v>166.33333333333334</c:v>
                </c:pt>
                <c:pt idx="4">
                  <c:v>75</c:v>
                </c:pt>
                <c:pt idx="5">
                  <c:v>71.666666666666671</c:v>
                </c:pt>
                <c:pt idx="6">
                  <c:v>37</c:v>
                </c:pt>
                <c:pt idx="7">
                  <c:v>1</c:v>
                </c:pt>
                <c:pt idx="8">
                  <c:v>23.333333333333332</c:v>
                </c:pt>
              </c:numCache>
            </c:numRef>
          </c:val>
        </c:ser>
        <c:ser>
          <c:idx val="1"/>
          <c:order val="1"/>
          <c:tx>
            <c:strRef>
              <c:f>Sheet12!$B$39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Sheet12!$C$39:$K$39</c:f>
              <c:numCache>
                <c:formatCode>#,##0.0</c:formatCode>
                <c:ptCount val="9"/>
                <c:pt idx="0">
                  <c:v>102.66666666666666</c:v>
                </c:pt>
                <c:pt idx="1">
                  <c:v>84</c:v>
                </c:pt>
                <c:pt idx="2">
                  <c:v>86</c:v>
                </c:pt>
                <c:pt idx="3">
                  <c:v>197.66666666666666</c:v>
                </c:pt>
                <c:pt idx="4">
                  <c:v>52.666666666666671</c:v>
                </c:pt>
                <c:pt idx="5">
                  <c:v>54</c:v>
                </c:pt>
                <c:pt idx="6">
                  <c:v>17.666666666666664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57856"/>
        <c:axId val="171259392"/>
      </c:barChart>
      <c:catAx>
        <c:axId val="171257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259392"/>
        <c:crosses val="autoZero"/>
        <c:auto val="1"/>
        <c:lblAlgn val="ctr"/>
        <c:lblOffset val="100"/>
        <c:noMultiLvlLbl val="0"/>
      </c:catAx>
      <c:valAx>
        <c:axId val="17125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125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Sheet12!$C$37:$I$37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Sheet12!$C$41:$I$41</c:f>
              <c:numCache>
                <c:formatCode>#,##0</c:formatCode>
                <c:ptCount val="7"/>
                <c:pt idx="0">
                  <c:v>1630586</c:v>
                </c:pt>
                <c:pt idx="1">
                  <c:v>2025118</c:v>
                </c:pt>
                <c:pt idx="2">
                  <c:v>1655917</c:v>
                </c:pt>
                <c:pt idx="3">
                  <c:v>1617328</c:v>
                </c:pt>
                <c:pt idx="4">
                  <c:v>1985118</c:v>
                </c:pt>
                <c:pt idx="5">
                  <c:v>1615917</c:v>
                </c:pt>
                <c:pt idx="6">
                  <c:v>637332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96640"/>
        <c:axId val="171298176"/>
      </c:barChart>
      <c:catAx>
        <c:axId val="17129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298176"/>
        <c:crosses val="autoZero"/>
        <c:auto val="1"/>
        <c:lblAlgn val="ctr"/>
        <c:lblOffset val="100"/>
        <c:noMultiLvlLbl val="0"/>
      </c:catAx>
      <c:valAx>
        <c:axId val="17129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12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Sheet13!$C$38:$K$38</c:f>
              <c:numCache>
                <c:formatCode>#,##0.0</c:formatCode>
                <c:ptCount val="9"/>
                <c:pt idx="0">
                  <c:v>554.66666666666663</c:v>
                </c:pt>
                <c:pt idx="1">
                  <c:v>271</c:v>
                </c:pt>
                <c:pt idx="2">
                  <c:v>249.33333333333331</c:v>
                </c:pt>
                <c:pt idx="3">
                  <c:v>369</c:v>
                </c:pt>
                <c:pt idx="4">
                  <c:v>264</c:v>
                </c:pt>
                <c:pt idx="5">
                  <c:v>246.33333333333334</c:v>
                </c:pt>
                <c:pt idx="6">
                  <c:v>109.66666666666667</c:v>
                </c:pt>
                <c:pt idx="7">
                  <c:v>13</c:v>
                </c:pt>
                <c:pt idx="8">
                  <c:v>56.333333333333336</c:v>
                </c:pt>
              </c:numCache>
            </c:numRef>
          </c:val>
        </c:ser>
        <c:ser>
          <c:idx val="1"/>
          <c:order val="1"/>
          <c:tx>
            <c:strRef>
              <c:f>Sheet13!$B$39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Sheet13!$C$39:$K$39</c:f>
              <c:numCache>
                <c:formatCode>#,##0.0</c:formatCode>
                <c:ptCount val="9"/>
                <c:pt idx="0">
                  <c:v>840.00000000000011</c:v>
                </c:pt>
                <c:pt idx="1">
                  <c:v>758.33333333333326</c:v>
                </c:pt>
                <c:pt idx="2">
                  <c:v>786</c:v>
                </c:pt>
                <c:pt idx="3">
                  <c:v>518.33333333333337</c:v>
                </c:pt>
                <c:pt idx="4">
                  <c:v>271</c:v>
                </c:pt>
                <c:pt idx="5">
                  <c:v>304.33333333333326</c:v>
                </c:pt>
                <c:pt idx="6">
                  <c:v>134.33333333333331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21280"/>
        <c:axId val="171123072"/>
      </c:barChart>
      <c:catAx>
        <c:axId val="171121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123072"/>
        <c:crosses val="autoZero"/>
        <c:auto val="1"/>
        <c:lblAlgn val="ctr"/>
        <c:lblOffset val="100"/>
        <c:noMultiLvlLbl val="0"/>
      </c:catAx>
      <c:valAx>
        <c:axId val="17112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112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Sheet13!$C$37:$I$37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Sheet13!$C$41:$I$41</c:f>
              <c:numCache>
                <c:formatCode>#,##0</c:formatCode>
                <c:ptCount val="7"/>
                <c:pt idx="0">
                  <c:v>17186511.666666668</c:v>
                </c:pt>
                <c:pt idx="1">
                  <c:v>21085998.333333332</c:v>
                </c:pt>
                <c:pt idx="2">
                  <c:v>17473176</c:v>
                </c:pt>
                <c:pt idx="3">
                  <c:v>17074587</c:v>
                </c:pt>
                <c:pt idx="4">
                  <c:v>20752665</c:v>
                </c:pt>
                <c:pt idx="5">
                  <c:v>17073176</c:v>
                </c:pt>
                <c:pt idx="6">
                  <c:v>6839717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56224"/>
        <c:axId val="171157760"/>
      </c:barChart>
      <c:catAx>
        <c:axId val="171156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157760"/>
        <c:crosses val="autoZero"/>
        <c:auto val="1"/>
        <c:lblAlgn val="ctr"/>
        <c:lblOffset val="100"/>
        <c:noMultiLvlLbl val="0"/>
      </c:catAx>
      <c:valAx>
        <c:axId val="17115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11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Sheet14!$C$38:$K$38</c:f>
              <c:numCache>
                <c:formatCode>#,##0.0</c:formatCode>
                <c:ptCount val="9"/>
                <c:pt idx="0">
                  <c:v>5191</c:v>
                </c:pt>
                <c:pt idx="1">
                  <c:v>2664.6666666666665</c:v>
                </c:pt>
                <c:pt idx="2">
                  <c:v>2529</c:v>
                </c:pt>
                <c:pt idx="3">
                  <c:v>1459.3333333333333</c:v>
                </c:pt>
                <c:pt idx="4">
                  <c:v>1384.3333333333333</c:v>
                </c:pt>
                <c:pt idx="5">
                  <c:v>1286.3333333333333</c:v>
                </c:pt>
                <c:pt idx="6">
                  <c:v>844.33333333333337</c:v>
                </c:pt>
                <c:pt idx="7">
                  <c:v>130</c:v>
                </c:pt>
                <c:pt idx="8">
                  <c:v>228.33333333333334</c:v>
                </c:pt>
              </c:numCache>
            </c:numRef>
          </c:val>
        </c:ser>
        <c:ser>
          <c:idx val="1"/>
          <c:order val="1"/>
          <c:tx>
            <c:strRef>
              <c:f>Sheet14!$B$39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Sheet14!$C$39:$K$39</c:f>
              <c:numCache>
                <c:formatCode>#,##0.0</c:formatCode>
                <c:ptCount val="9"/>
                <c:pt idx="0">
                  <c:v>9097</c:v>
                </c:pt>
                <c:pt idx="1">
                  <c:v>8052</c:v>
                </c:pt>
                <c:pt idx="2">
                  <c:v>7219</c:v>
                </c:pt>
                <c:pt idx="3">
                  <c:v>3033.3333333333339</c:v>
                </c:pt>
                <c:pt idx="4">
                  <c:v>1152.6666666666667</c:v>
                </c:pt>
                <c:pt idx="5">
                  <c:v>1159.6666666666667</c:v>
                </c:pt>
                <c:pt idx="6">
                  <c:v>1337.333333333333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91040"/>
        <c:axId val="161192576"/>
      </c:barChart>
      <c:catAx>
        <c:axId val="161191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192576"/>
        <c:crosses val="autoZero"/>
        <c:auto val="1"/>
        <c:lblAlgn val="ctr"/>
        <c:lblOffset val="100"/>
        <c:noMultiLvlLbl val="0"/>
      </c:catAx>
      <c:valAx>
        <c:axId val="16119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11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Sheet14!$C$37:$I$37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Sheet14!$C$41:$I$41</c:f>
              <c:numCache>
                <c:formatCode>#,##0</c:formatCode>
                <c:ptCount val="7"/>
                <c:pt idx="0">
                  <c:v>181274558</c:v>
                </c:pt>
                <c:pt idx="1">
                  <c:v>219923559.33333334</c:v>
                </c:pt>
                <c:pt idx="2">
                  <c:v>183807889</c:v>
                </c:pt>
                <c:pt idx="3">
                  <c:v>179809300</c:v>
                </c:pt>
                <c:pt idx="4">
                  <c:v>216590226</c:v>
                </c:pt>
                <c:pt idx="5">
                  <c:v>179807889</c:v>
                </c:pt>
                <c:pt idx="6">
                  <c:v>72578052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17536"/>
        <c:axId val="171397888"/>
      </c:barChart>
      <c:catAx>
        <c:axId val="16121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397888"/>
        <c:crosses val="autoZero"/>
        <c:auto val="1"/>
        <c:lblAlgn val="ctr"/>
        <c:lblOffset val="100"/>
        <c:noMultiLvlLbl val="0"/>
      </c:catAx>
      <c:valAx>
        <c:axId val="17139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612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Sheet15!$C$38:$K$38</c:f>
              <c:numCache>
                <c:formatCode>#,##0.0</c:formatCode>
                <c:ptCount val="9"/>
                <c:pt idx="0">
                  <c:v>9824.6666666666679</c:v>
                </c:pt>
                <c:pt idx="1">
                  <c:v>2008.9999999999998</c:v>
                </c:pt>
                <c:pt idx="2">
                  <c:v>1978.3333333333333</c:v>
                </c:pt>
                <c:pt idx="3">
                  <c:v>826.66666666666663</c:v>
                </c:pt>
                <c:pt idx="4">
                  <c:v>580</c:v>
                </c:pt>
                <c:pt idx="5">
                  <c:v>560.66666666666663</c:v>
                </c:pt>
                <c:pt idx="6">
                  <c:v>370.66666666666669</c:v>
                </c:pt>
                <c:pt idx="7">
                  <c:v>440.66666666666669</c:v>
                </c:pt>
                <c:pt idx="8">
                  <c:v>212.66666666666666</c:v>
                </c:pt>
              </c:numCache>
            </c:numRef>
          </c:val>
        </c:ser>
        <c:ser>
          <c:idx val="1"/>
          <c:order val="1"/>
          <c:tx>
            <c:strRef>
              <c:f>Sheet15!$B$39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Sheet15!$C$39:$K$39</c:f>
              <c:numCache>
                <c:formatCode>#,##0.0</c:formatCode>
                <c:ptCount val="9"/>
                <c:pt idx="0">
                  <c:v>11558.666666666664</c:v>
                </c:pt>
                <c:pt idx="1">
                  <c:v>1950.0000000000007</c:v>
                </c:pt>
                <c:pt idx="2">
                  <c:v>1984.6666666666672</c:v>
                </c:pt>
                <c:pt idx="3">
                  <c:v>1242</c:v>
                </c:pt>
                <c:pt idx="4">
                  <c:v>488.33333333333326</c:v>
                </c:pt>
                <c:pt idx="5">
                  <c:v>489.66666666666663</c:v>
                </c:pt>
                <c:pt idx="6">
                  <c:v>1020.9999999999998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52768"/>
        <c:axId val="171554304"/>
      </c:barChart>
      <c:catAx>
        <c:axId val="171552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554304"/>
        <c:crosses val="autoZero"/>
        <c:auto val="1"/>
        <c:lblAlgn val="ctr"/>
        <c:lblOffset val="100"/>
        <c:noMultiLvlLbl val="0"/>
      </c:catAx>
      <c:valAx>
        <c:axId val="17155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15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Sheet2!$C$38:$K$38</c:f>
              <c:numCache>
                <c:formatCode>#,##0.0</c:formatCode>
                <c:ptCount val="9"/>
                <c:pt idx="0">
                  <c:v>64</c:v>
                </c:pt>
                <c:pt idx="1">
                  <c:v>13</c:v>
                </c:pt>
                <c:pt idx="2">
                  <c:v>12</c:v>
                </c:pt>
                <c:pt idx="3">
                  <c:v>69</c:v>
                </c:pt>
                <c:pt idx="4">
                  <c:v>3</c:v>
                </c:pt>
                <c:pt idx="5">
                  <c:v>3</c:v>
                </c:pt>
                <c:pt idx="6">
                  <c:v>33.666666666666664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Sheet2!$C$39:$K$39</c:f>
              <c:numCache>
                <c:formatCode>#,##0.0</c:formatCode>
                <c:ptCount val="9"/>
                <c:pt idx="0">
                  <c:v>17</c:v>
                </c:pt>
                <c:pt idx="1">
                  <c:v>8</c:v>
                </c:pt>
                <c:pt idx="2">
                  <c:v>9</c:v>
                </c:pt>
                <c:pt idx="3">
                  <c:v>55.333333333333329</c:v>
                </c:pt>
                <c:pt idx="4">
                  <c:v>3</c:v>
                </c:pt>
                <c:pt idx="5">
                  <c:v>1.333333333333333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05184"/>
        <c:axId val="157406720"/>
      </c:barChart>
      <c:catAx>
        <c:axId val="157405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406720"/>
        <c:crosses val="autoZero"/>
        <c:auto val="1"/>
        <c:lblAlgn val="ctr"/>
        <c:lblOffset val="100"/>
        <c:noMultiLvlLbl val="0"/>
      </c:catAx>
      <c:valAx>
        <c:axId val="157406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740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Sheet15!$C$37:$I$37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Sheet15!$C$41:$I$41</c:f>
              <c:numCache>
                <c:formatCode>#,##0</c:formatCode>
                <c:ptCount val="7"/>
                <c:pt idx="0">
                  <c:v>102470052.66666667</c:v>
                </c:pt>
                <c:pt idx="1">
                  <c:v>100941867.66666667</c:v>
                </c:pt>
                <c:pt idx="2">
                  <c:v>95023371</c:v>
                </c:pt>
                <c:pt idx="3">
                  <c:v>93002718</c:v>
                </c:pt>
                <c:pt idx="4">
                  <c:v>98538448</c:v>
                </c:pt>
                <c:pt idx="5">
                  <c:v>87104525</c:v>
                </c:pt>
                <c:pt idx="6">
                  <c:v>46953298.666666664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75168"/>
        <c:axId val="171576704"/>
      </c:barChart>
      <c:catAx>
        <c:axId val="171575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576704"/>
        <c:crosses val="autoZero"/>
        <c:auto val="1"/>
        <c:lblAlgn val="ctr"/>
        <c:lblOffset val="100"/>
        <c:noMultiLvlLbl val="0"/>
      </c:catAx>
      <c:valAx>
        <c:axId val="17157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15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Sheet16!$C$38:$K$38</c:f>
              <c:numCache>
                <c:formatCode>#,##0.0</c:formatCode>
                <c:ptCount val="9"/>
                <c:pt idx="0">
                  <c:v>97386.333333333328</c:v>
                </c:pt>
                <c:pt idx="1">
                  <c:v>20905</c:v>
                </c:pt>
                <c:pt idx="2">
                  <c:v>20589.666666666668</c:v>
                </c:pt>
                <c:pt idx="3">
                  <c:v>5744.666666666667</c:v>
                </c:pt>
                <c:pt idx="4">
                  <c:v>4229.666666666667</c:v>
                </c:pt>
                <c:pt idx="5">
                  <c:v>4027.3333333333335</c:v>
                </c:pt>
                <c:pt idx="6">
                  <c:v>3684</c:v>
                </c:pt>
                <c:pt idx="7">
                  <c:v>4487</c:v>
                </c:pt>
                <c:pt idx="8">
                  <c:v>1257</c:v>
                </c:pt>
              </c:numCache>
            </c:numRef>
          </c:val>
        </c:ser>
        <c:ser>
          <c:idx val="1"/>
          <c:order val="1"/>
          <c:tx>
            <c:strRef>
              <c:f>Sheet16!$B$39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Sheet16!$C$39:$K$39</c:f>
              <c:numCache>
                <c:formatCode>#,##0.0</c:formatCode>
                <c:ptCount val="9"/>
                <c:pt idx="0">
                  <c:v>115684.33333333333</c:v>
                </c:pt>
                <c:pt idx="1">
                  <c:v>19651.666666666664</c:v>
                </c:pt>
                <c:pt idx="2">
                  <c:v>20270.666666666668</c:v>
                </c:pt>
                <c:pt idx="3">
                  <c:v>11534.333333333332</c:v>
                </c:pt>
                <c:pt idx="4">
                  <c:v>3123.6666666666661</c:v>
                </c:pt>
                <c:pt idx="5">
                  <c:v>2787.3333333333335</c:v>
                </c:pt>
                <c:pt idx="6">
                  <c:v>9988.6666666666679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74336"/>
        <c:axId val="161088256"/>
      </c:barChart>
      <c:catAx>
        <c:axId val="172174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088256"/>
        <c:crosses val="autoZero"/>
        <c:auto val="1"/>
        <c:lblAlgn val="ctr"/>
        <c:lblOffset val="100"/>
        <c:noMultiLvlLbl val="0"/>
      </c:catAx>
      <c:valAx>
        <c:axId val="16108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21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Sheet16!$C$37:$I$37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Sheet16!$C$41:$I$41</c:f>
              <c:numCache>
                <c:formatCode>#,##0</c:formatCode>
                <c:ptCount val="7"/>
                <c:pt idx="0">
                  <c:v>1039404460</c:v>
                </c:pt>
                <c:pt idx="1">
                  <c:v>1023542432.3333334</c:v>
                </c:pt>
                <c:pt idx="2">
                  <c:v>965513133</c:v>
                </c:pt>
                <c:pt idx="3">
                  <c:v>940324285</c:v>
                </c:pt>
                <c:pt idx="4">
                  <c:v>995667008.33333337</c:v>
                </c:pt>
                <c:pt idx="5">
                  <c:v>881346738.66666663</c:v>
                </c:pt>
                <c:pt idx="6">
                  <c:v>479710649.33333331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25504"/>
        <c:axId val="161127040"/>
      </c:barChart>
      <c:catAx>
        <c:axId val="161125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127040"/>
        <c:crosses val="autoZero"/>
        <c:auto val="1"/>
        <c:lblAlgn val="ctr"/>
        <c:lblOffset val="100"/>
        <c:noMultiLvlLbl val="0"/>
      </c:catAx>
      <c:valAx>
        <c:axId val="16112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6112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Sheet17!$C$38:$K$38</c:f>
              <c:numCache>
                <c:formatCode>#,##0.0</c:formatCode>
                <c:ptCount val="9"/>
                <c:pt idx="0">
                  <c:v>978958</c:v>
                </c:pt>
                <c:pt idx="1">
                  <c:v>217374.66666666666</c:v>
                </c:pt>
                <c:pt idx="2">
                  <c:v>215631.66666666669</c:v>
                </c:pt>
                <c:pt idx="3">
                  <c:v>57733.666666666664</c:v>
                </c:pt>
                <c:pt idx="4">
                  <c:v>39337</c:v>
                </c:pt>
                <c:pt idx="5">
                  <c:v>37728</c:v>
                </c:pt>
                <c:pt idx="6">
                  <c:v>36791.333333333336</c:v>
                </c:pt>
                <c:pt idx="7">
                  <c:v>45051.666666666664</c:v>
                </c:pt>
                <c:pt idx="8">
                  <c:v>12262</c:v>
                </c:pt>
              </c:numCache>
            </c:numRef>
          </c:val>
        </c:ser>
        <c:ser>
          <c:idx val="1"/>
          <c:order val="1"/>
          <c:tx>
            <c:strRef>
              <c:f>Sheet17!$B$39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Sheet17!$C$39:$K$39</c:f>
              <c:numCache>
                <c:formatCode>#,##0.0</c:formatCode>
                <c:ptCount val="9"/>
                <c:pt idx="0">
                  <c:v>1192748</c:v>
                </c:pt>
                <c:pt idx="1">
                  <c:v>203193.33333333334</c:v>
                </c:pt>
                <c:pt idx="2">
                  <c:v>189885.99999999994</c:v>
                </c:pt>
                <c:pt idx="3">
                  <c:v>112525</c:v>
                </c:pt>
                <c:pt idx="4">
                  <c:v>28836.333333333328</c:v>
                </c:pt>
                <c:pt idx="5">
                  <c:v>26887.333333333336</c:v>
                </c:pt>
                <c:pt idx="6">
                  <c:v>101155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34624"/>
        <c:axId val="172236160"/>
      </c:barChart>
      <c:catAx>
        <c:axId val="172234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236160"/>
        <c:crosses val="autoZero"/>
        <c:auto val="1"/>
        <c:lblAlgn val="ctr"/>
        <c:lblOffset val="100"/>
        <c:noMultiLvlLbl val="0"/>
      </c:catAx>
      <c:valAx>
        <c:axId val="17223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22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Sheet17!$C$37:$I$37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Sheet17!$C$41:$I$41</c:f>
              <c:numCache>
                <c:formatCode>#,##0</c:formatCode>
                <c:ptCount val="7"/>
                <c:pt idx="0">
                  <c:v>10553400680.333334</c:v>
                </c:pt>
                <c:pt idx="1">
                  <c:v>10389069967.333334</c:v>
                </c:pt>
                <c:pt idx="2">
                  <c:v>9808749160.666666</c:v>
                </c:pt>
                <c:pt idx="3">
                  <c:v>9506224119</c:v>
                </c:pt>
                <c:pt idx="4">
                  <c:v>10059592771.666666</c:v>
                </c:pt>
                <c:pt idx="5">
                  <c:v>8916346702</c:v>
                </c:pt>
                <c:pt idx="6">
                  <c:v>4898916173.666667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69568"/>
        <c:axId val="172271104"/>
      </c:barChart>
      <c:catAx>
        <c:axId val="172269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271104"/>
        <c:crosses val="autoZero"/>
        <c:auto val="1"/>
        <c:lblAlgn val="ctr"/>
        <c:lblOffset val="100"/>
        <c:noMultiLvlLbl val="0"/>
      </c:catAx>
      <c:valAx>
        <c:axId val="17227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22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Sheet18!$C$38:$K$38</c:f>
              <c:numCache>
                <c:formatCode>#,##0.0</c:formatCode>
                <c:ptCount val="9"/>
                <c:pt idx="0">
                  <c:v>1174</c:v>
                </c:pt>
                <c:pt idx="1">
                  <c:v>900.33333333333326</c:v>
                </c:pt>
                <c:pt idx="2">
                  <c:v>893</c:v>
                </c:pt>
                <c:pt idx="3">
                  <c:v>673</c:v>
                </c:pt>
                <c:pt idx="4">
                  <c:v>570</c:v>
                </c:pt>
                <c:pt idx="5">
                  <c:v>569.33333333333337</c:v>
                </c:pt>
                <c:pt idx="6">
                  <c:v>265.66666666666669</c:v>
                </c:pt>
                <c:pt idx="7">
                  <c:v>204</c:v>
                </c:pt>
                <c:pt idx="8">
                  <c:v>196</c:v>
                </c:pt>
              </c:numCache>
            </c:numRef>
          </c:val>
        </c:ser>
        <c:ser>
          <c:idx val="1"/>
          <c:order val="1"/>
          <c:tx>
            <c:strRef>
              <c:f>Sheet18!$B$39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Sheet18!$C$39:$K$39</c:f>
              <c:numCache>
                <c:formatCode>#,##0.0</c:formatCode>
                <c:ptCount val="9"/>
                <c:pt idx="0">
                  <c:v>1608.3333333333335</c:v>
                </c:pt>
                <c:pt idx="1">
                  <c:v>1999.6666666666667</c:v>
                </c:pt>
                <c:pt idx="2">
                  <c:v>1961</c:v>
                </c:pt>
                <c:pt idx="3">
                  <c:v>950.33333333333326</c:v>
                </c:pt>
                <c:pt idx="4">
                  <c:v>852</c:v>
                </c:pt>
                <c:pt idx="5">
                  <c:v>813.66666666666663</c:v>
                </c:pt>
                <c:pt idx="6">
                  <c:v>455.66666666666669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80512"/>
        <c:axId val="171682048"/>
      </c:barChart>
      <c:catAx>
        <c:axId val="171680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682048"/>
        <c:crosses val="autoZero"/>
        <c:auto val="1"/>
        <c:lblAlgn val="ctr"/>
        <c:lblOffset val="100"/>
        <c:noMultiLvlLbl val="0"/>
      </c:catAx>
      <c:valAx>
        <c:axId val="17168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16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Sheet18!$C$37:$I$37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Sheet18!$C$41:$I$41</c:f>
              <c:numCache>
                <c:formatCode>#,##0</c:formatCode>
                <c:ptCount val="7"/>
                <c:pt idx="0">
                  <c:v>53635456</c:v>
                </c:pt>
                <c:pt idx="1">
                  <c:v>53391164</c:v>
                </c:pt>
                <c:pt idx="2">
                  <c:v>49474394.666666664</c:v>
                </c:pt>
                <c:pt idx="3">
                  <c:v>50016359</c:v>
                </c:pt>
                <c:pt idx="4">
                  <c:v>53711989</c:v>
                </c:pt>
                <c:pt idx="5">
                  <c:v>49958915</c:v>
                </c:pt>
                <c:pt idx="6">
                  <c:v>23146398.333333332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19296"/>
        <c:axId val="171725184"/>
      </c:barChart>
      <c:catAx>
        <c:axId val="171719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725184"/>
        <c:crosses val="autoZero"/>
        <c:auto val="1"/>
        <c:lblAlgn val="ctr"/>
        <c:lblOffset val="100"/>
        <c:noMultiLvlLbl val="0"/>
      </c:catAx>
      <c:valAx>
        <c:axId val="171725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17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Sheet19!$C$38:$K$38</c:f>
              <c:numCache>
                <c:formatCode>#,##0.0</c:formatCode>
                <c:ptCount val="9"/>
                <c:pt idx="0">
                  <c:v>125763.99999999999</c:v>
                </c:pt>
                <c:pt idx="1">
                  <c:v>258962.66666666666</c:v>
                </c:pt>
                <c:pt idx="2">
                  <c:v>257580.33333333334</c:v>
                </c:pt>
                <c:pt idx="3">
                  <c:v>37344.666666666664</c:v>
                </c:pt>
                <c:pt idx="4">
                  <c:v>41395.333333333336</c:v>
                </c:pt>
                <c:pt idx="5">
                  <c:v>41057</c:v>
                </c:pt>
                <c:pt idx="6">
                  <c:v>35836.666666666672</c:v>
                </c:pt>
                <c:pt idx="7">
                  <c:v>27162.666666666668</c:v>
                </c:pt>
                <c:pt idx="8">
                  <c:v>7269.666666666667</c:v>
                </c:pt>
              </c:numCache>
            </c:numRef>
          </c:val>
        </c:ser>
        <c:ser>
          <c:idx val="1"/>
          <c:order val="1"/>
          <c:tx>
            <c:strRef>
              <c:f>Sheet19!$B$39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Sheet19!$C$39:$K$39</c:f>
              <c:numCache>
                <c:formatCode>#,##0.0</c:formatCode>
                <c:ptCount val="9"/>
                <c:pt idx="0">
                  <c:v>179023.33333333331</c:v>
                </c:pt>
                <c:pt idx="1">
                  <c:v>193987.99999999997</c:v>
                </c:pt>
                <c:pt idx="2">
                  <c:v>207652.66666666666</c:v>
                </c:pt>
                <c:pt idx="3">
                  <c:v>60518.666666666664</c:v>
                </c:pt>
                <c:pt idx="4">
                  <c:v>58643.666666666664</c:v>
                </c:pt>
                <c:pt idx="5">
                  <c:v>57891</c:v>
                </c:pt>
                <c:pt idx="6">
                  <c:v>97678.666666666672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96320"/>
        <c:axId val="173114496"/>
      </c:barChart>
      <c:catAx>
        <c:axId val="17309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114496"/>
        <c:crosses val="autoZero"/>
        <c:auto val="1"/>
        <c:lblAlgn val="ctr"/>
        <c:lblOffset val="100"/>
        <c:noMultiLvlLbl val="0"/>
      </c:catAx>
      <c:valAx>
        <c:axId val="17311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309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Sheet19!$C$37:$I$37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Sheet19!$C$41:$I$41</c:f>
              <c:numCache>
                <c:formatCode>#,##0</c:formatCode>
                <c:ptCount val="7"/>
                <c:pt idx="0">
                  <c:v>9819175867.333334</c:v>
                </c:pt>
                <c:pt idx="1">
                  <c:v>9799348273</c:v>
                </c:pt>
                <c:pt idx="2">
                  <c:v>9512405183.333334</c:v>
                </c:pt>
                <c:pt idx="3">
                  <c:v>9536735419</c:v>
                </c:pt>
                <c:pt idx="4">
                  <c:v>9823666697</c:v>
                </c:pt>
                <c:pt idx="5">
                  <c:v>9531222625</c:v>
                </c:pt>
                <c:pt idx="6">
                  <c:v>7495744817.333333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59936"/>
        <c:axId val="173161472"/>
      </c:barChart>
      <c:catAx>
        <c:axId val="173159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161472"/>
        <c:crosses val="autoZero"/>
        <c:auto val="1"/>
        <c:lblAlgn val="ctr"/>
        <c:lblOffset val="100"/>
        <c:noMultiLvlLbl val="0"/>
      </c:catAx>
      <c:valAx>
        <c:axId val="17316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31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Sheet2!$C$37:$I$37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Sheet2!$C$41:$I$41</c:f>
              <c:numCache>
                <c:formatCode>#,##0</c:formatCode>
                <c:ptCount val="7"/>
                <c:pt idx="0">
                  <c:v>111</c:v>
                </c:pt>
                <c:pt idx="1">
                  <c:v>141</c:v>
                </c:pt>
                <c:pt idx="2">
                  <c:v>75</c:v>
                </c:pt>
                <c:pt idx="3">
                  <c:v>74</c:v>
                </c:pt>
                <c:pt idx="4">
                  <c:v>141</c:v>
                </c:pt>
                <c:pt idx="5">
                  <c:v>54</c:v>
                </c:pt>
                <c:pt idx="6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95360"/>
        <c:axId val="157705344"/>
      </c:barChart>
      <c:catAx>
        <c:axId val="157695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705344"/>
        <c:crosses val="autoZero"/>
        <c:auto val="1"/>
        <c:lblAlgn val="ctr"/>
        <c:lblOffset val="100"/>
        <c:noMultiLvlLbl val="0"/>
      </c:catAx>
      <c:valAx>
        <c:axId val="15770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769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Sheet3!$C$38:$K$38</c:f>
              <c:numCache>
                <c:formatCode>#,##0.0</c:formatCode>
                <c:ptCount val="9"/>
                <c:pt idx="0">
                  <c:v>184.33333333333334</c:v>
                </c:pt>
                <c:pt idx="1">
                  <c:v>113.66666666666666</c:v>
                </c:pt>
                <c:pt idx="2">
                  <c:v>114</c:v>
                </c:pt>
                <c:pt idx="3">
                  <c:v>170.33333333333334</c:v>
                </c:pt>
                <c:pt idx="4">
                  <c:v>76.333333333333329</c:v>
                </c:pt>
                <c:pt idx="5">
                  <c:v>77</c:v>
                </c:pt>
                <c:pt idx="6">
                  <c:v>62.666666666666664</c:v>
                </c:pt>
                <c:pt idx="7">
                  <c:v>13.666666666666666</c:v>
                </c:pt>
                <c:pt idx="8">
                  <c:v>25.333333333333332</c:v>
                </c:pt>
              </c:numCache>
            </c:numRef>
          </c:val>
        </c:ser>
        <c:ser>
          <c:idx val="1"/>
          <c:order val="1"/>
          <c:tx>
            <c:strRef>
              <c:f>Sheet3!$B$39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Sheet3!$C$39:$K$39</c:f>
              <c:numCache>
                <c:formatCode>#,##0.0</c:formatCode>
                <c:ptCount val="9"/>
                <c:pt idx="0">
                  <c:v>344</c:v>
                </c:pt>
                <c:pt idx="1">
                  <c:v>79.666666666666686</c:v>
                </c:pt>
                <c:pt idx="2">
                  <c:v>84.333333333333343</c:v>
                </c:pt>
                <c:pt idx="3">
                  <c:v>163.66666666666666</c:v>
                </c:pt>
                <c:pt idx="4">
                  <c:v>52.000000000000014</c:v>
                </c:pt>
                <c:pt idx="5">
                  <c:v>51.666666666666657</c:v>
                </c:pt>
                <c:pt idx="6">
                  <c:v>79.333333333333343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2048"/>
        <c:axId val="157923584"/>
      </c:barChart>
      <c:catAx>
        <c:axId val="157922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923584"/>
        <c:crosses val="autoZero"/>
        <c:auto val="1"/>
        <c:lblAlgn val="ctr"/>
        <c:lblOffset val="100"/>
        <c:noMultiLvlLbl val="0"/>
      </c:catAx>
      <c:valAx>
        <c:axId val="15792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792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Sheet3!$C$37:$I$37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Sheet3!$C$41:$I$41</c:f>
              <c:numCache>
                <c:formatCode>#,##0</c:formatCode>
                <c:ptCount val="7"/>
                <c:pt idx="0">
                  <c:v>4777768</c:v>
                </c:pt>
                <c:pt idx="1">
                  <c:v>4777780</c:v>
                </c:pt>
                <c:pt idx="2">
                  <c:v>4777768</c:v>
                </c:pt>
                <c:pt idx="3">
                  <c:v>4777780</c:v>
                </c:pt>
                <c:pt idx="4">
                  <c:v>4777780</c:v>
                </c:pt>
                <c:pt idx="5">
                  <c:v>4777768</c:v>
                </c:pt>
                <c:pt idx="6">
                  <c:v>2372376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09152"/>
        <c:axId val="158210688"/>
      </c:barChart>
      <c:catAx>
        <c:axId val="158209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210688"/>
        <c:crosses val="autoZero"/>
        <c:auto val="1"/>
        <c:lblAlgn val="ctr"/>
        <c:lblOffset val="100"/>
        <c:noMultiLvlLbl val="0"/>
      </c:catAx>
      <c:valAx>
        <c:axId val="15821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820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Sheet4!$C$38:$K$38</c:f>
              <c:numCache>
                <c:formatCode>#,##0.0</c:formatCode>
                <c:ptCount val="9"/>
                <c:pt idx="0">
                  <c:v>1415</c:v>
                </c:pt>
                <c:pt idx="1">
                  <c:v>1230</c:v>
                </c:pt>
                <c:pt idx="2">
                  <c:v>1201</c:v>
                </c:pt>
                <c:pt idx="3">
                  <c:v>452.33333333333331</c:v>
                </c:pt>
                <c:pt idx="4">
                  <c:v>271</c:v>
                </c:pt>
                <c:pt idx="5">
                  <c:v>272.66666666666669</c:v>
                </c:pt>
                <c:pt idx="6">
                  <c:v>412</c:v>
                </c:pt>
                <c:pt idx="7">
                  <c:v>132.33333333333334</c:v>
                </c:pt>
                <c:pt idx="8">
                  <c:v>59.333333333333336</c:v>
                </c:pt>
              </c:numCache>
            </c:numRef>
          </c:val>
        </c:ser>
        <c:ser>
          <c:idx val="1"/>
          <c:order val="1"/>
          <c:tx>
            <c:strRef>
              <c:f>Sheet4!$B$39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Sheet4!$C$39:$K$39</c:f>
              <c:numCache>
                <c:formatCode>#,##0.0</c:formatCode>
                <c:ptCount val="9"/>
                <c:pt idx="0">
                  <c:v>3152</c:v>
                </c:pt>
                <c:pt idx="1">
                  <c:v>772.00000000000023</c:v>
                </c:pt>
                <c:pt idx="2">
                  <c:v>773.00000000000023</c:v>
                </c:pt>
                <c:pt idx="3">
                  <c:v>464.33333333333331</c:v>
                </c:pt>
                <c:pt idx="4">
                  <c:v>222.33333333333331</c:v>
                </c:pt>
                <c:pt idx="5">
                  <c:v>213</c:v>
                </c:pt>
                <c:pt idx="6">
                  <c:v>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14336"/>
        <c:axId val="158415872"/>
      </c:barChart>
      <c:catAx>
        <c:axId val="158414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415872"/>
        <c:crosses val="autoZero"/>
        <c:auto val="1"/>
        <c:lblAlgn val="ctr"/>
        <c:lblOffset val="100"/>
        <c:noMultiLvlLbl val="0"/>
      </c:catAx>
      <c:valAx>
        <c:axId val="15841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84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Sheet4!$C$37:$I$37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Sheet4!$C$41:$I$41</c:f>
              <c:numCache>
                <c:formatCode>#,##0</c:formatCode>
                <c:ptCount val="7"/>
                <c:pt idx="0">
                  <c:v>49777768</c:v>
                </c:pt>
                <c:pt idx="1">
                  <c:v>49777780</c:v>
                </c:pt>
                <c:pt idx="2">
                  <c:v>49777768</c:v>
                </c:pt>
                <c:pt idx="3">
                  <c:v>49777780</c:v>
                </c:pt>
                <c:pt idx="4">
                  <c:v>49777780</c:v>
                </c:pt>
                <c:pt idx="5">
                  <c:v>49777768</c:v>
                </c:pt>
                <c:pt idx="6">
                  <c:v>24872376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56832"/>
        <c:axId val="158462720"/>
      </c:barChart>
      <c:catAx>
        <c:axId val="158456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462720"/>
        <c:crosses val="autoZero"/>
        <c:auto val="1"/>
        <c:lblAlgn val="ctr"/>
        <c:lblOffset val="100"/>
        <c:noMultiLvlLbl val="0"/>
      </c:catAx>
      <c:valAx>
        <c:axId val="158462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845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Sheet5!$C$38:$K$38</c:f>
              <c:numCache>
                <c:formatCode>#,##0.0</c:formatCode>
                <c:ptCount val="9"/>
                <c:pt idx="0">
                  <c:v>13659</c:v>
                </c:pt>
                <c:pt idx="1">
                  <c:v>13271.333333333332</c:v>
                </c:pt>
                <c:pt idx="2">
                  <c:v>12884</c:v>
                </c:pt>
                <c:pt idx="3">
                  <c:v>3140.3333333333335</c:v>
                </c:pt>
                <c:pt idx="4">
                  <c:v>2156.3333333333335</c:v>
                </c:pt>
                <c:pt idx="5">
                  <c:v>2110</c:v>
                </c:pt>
                <c:pt idx="6">
                  <c:v>4012.3333333333339</c:v>
                </c:pt>
                <c:pt idx="7">
                  <c:v>1348.3333333333333</c:v>
                </c:pt>
                <c:pt idx="8">
                  <c:v>353.66666666666669</c:v>
                </c:pt>
              </c:numCache>
            </c:numRef>
          </c:val>
        </c:ser>
        <c:ser>
          <c:idx val="1"/>
          <c:order val="1"/>
          <c:tx>
            <c:strRef>
              <c:f>Sheet5!$B$39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Sheet5!$C$39:$K$39</c:f>
              <c:numCache>
                <c:formatCode>#,##0.0</c:formatCode>
                <c:ptCount val="9"/>
                <c:pt idx="0">
                  <c:v>30961.333333333328</c:v>
                </c:pt>
                <c:pt idx="1">
                  <c:v>7619.6666666666679</c:v>
                </c:pt>
                <c:pt idx="2">
                  <c:v>7542.3333333333358</c:v>
                </c:pt>
                <c:pt idx="3">
                  <c:v>3471.3333333333335</c:v>
                </c:pt>
                <c:pt idx="4">
                  <c:v>1888.6666666666665</c:v>
                </c:pt>
                <c:pt idx="5">
                  <c:v>1928.6666666666665</c:v>
                </c:pt>
                <c:pt idx="6">
                  <c:v>8061.9999999999982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40480"/>
        <c:axId val="158742016"/>
      </c:barChart>
      <c:catAx>
        <c:axId val="15874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742016"/>
        <c:crosses val="autoZero"/>
        <c:auto val="1"/>
        <c:lblAlgn val="ctr"/>
        <c:lblOffset val="100"/>
        <c:noMultiLvlLbl val="0"/>
      </c:catAx>
      <c:valAx>
        <c:axId val="15874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874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e18" displayName="Table18" ref="B37:K41" totalsRowShown="0">
  <autoFilter ref="B37:K41"/>
  <tableColumns count="10">
    <tableColumn id="1" name="Average"/>
    <tableColumn id="2" name="Newtonsoft.Json" dataDxfId="271">
      <calculatedColumnFormula>AverageNumbers[](Serialization[Newtonsoft (duration)])</calculatedColumnFormula>
    </tableColumn>
    <tableColumn id="3" name=".Net baked full" dataDxfId="270"/>
    <tableColumn id="4" name=".Net baked minimal" dataDxfId="269"/>
    <tableColumn id="8" name="Jackson" dataDxfId="268"/>
    <tableColumn id="7" name="JVM baked full" dataDxfId="267"/>
    <tableColumn id="5" name="JVM baked minimal" dataDxfId="266"/>
    <tableColumn id="6" name="Protobuf.NET" dataDxfId="265"/>
    <tableColumn id="9" name=".NET (instance only)" dataDxfId="264">
      <calculatedColumnFormula>AVERAGE(Both[.NET (instance only)])</calculatedColumnFormula>
    </tableColumn>
    <tableColumn id="10" name="JVM (instance only)" dataDxfId="26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Table17" displayName="Table17" ref="B45:I47" totalsRowShown="0">
  <autoFilter ref="B45:I47"/>
  <tableColumns count="8">
    <tableColumn id="1" name="Deviation"/>
    <tableColumn id="2" name="Newtonsoft.Json" dataDxfId="262">
      <calculatedColumnFormula>AverageNumbers[](Serialization[Newtonsoft (duration)])</calculatedColumnFormula>
    </tableColumn>
    <tableColumn id="3" name=".Net baked full" dataDxfId="261"/>
    <tableColumn id="4" name=".Net baked minimal" dataDxfId="260"/>
    <tableColumn id="5" name="Jackson" dataDxfId="259"/>
    <tableColumn id="6" name="JVM baked full" dataDxfId="258"/>
    <tableColumn id="7" name="JVM baked minimal" dataDxfId="257"/>
    <tableColumn id="8" name="Protobuf.NET" dataDxfId="2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Table16" displayName="Table1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9" displayName="Table1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Table22" displayName="Table22" ref="B37:K41" totalsRowShown="0">
  <autoFilter ref="B37:K41"/>
  <tableColumns count="10">
    <tableColumn id="1" name="Average"/>
    <tableColumn id="2" name="Newtonsoft.Json" dataDxfId="255">
      <calculatedColumnFormula>AverageNumbers[](Serialization[Newtonsoft (duration)])</calculatedColumnFormula>
    </tableColumn>
    <tableColumn id="3" name=".Net baked full" dataDxfId="254"/>
    <tableColumn id="4" name=".Net baked minimal" dataDxfId="253"/>
    <tableColumn id="8" name="Jackson" dataDxfId="252"/>
    <tableColumn id="7" name="JVM baked full" dataDxfId="251"/>
    <tableColumn id="5" name="JVM baked minimal" dataDxfId="250"/>
    <tableColumn id="6" name="Protobuf.NET" dataDxfId="249"/>
    <tableColumn id="9" name=".NET (instance only)" dataDxfId="248">
      <calculatedColumnFormula>AVERAGE(Both[.NET (instance only)])</calculatedColumnFormula>
    </tableColumn>
    <tableColumn id="10" name="JVM (instance only)" dataDxfId="24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1" name="Table21" displayName="Table21" ref="B45:I47" totalsRowShown="0">
  <autoFilter ref="B45:I47"/>
  <tableColumns count="8">
    <tableColumn id="1" name="Deviation"/>
    <tableColumn id="2" name="Newtonsoft.Json" dataDxfId="246">
      <calculatedColumnFormula>AverageNumbers[](Serialization[Newtonsoft (duration)])</calculatedColumnFormula>
    </tableColumn>
    <tableColumn id="3" name=".Net baked full" dataDxfId="245"/>
    <tableColumn id="4" name=".Net baked minimal" dataDxfId="244"/>
    <tableColumn id="5" name="Jackson" dataDxfId="243"/>
    <tableColumn id="6" name="JVM baked full" dataDxfId="242"/>
    <tableColumn id="7" name="JVM baked minimal" dataDxfId="241"/>
    <tableColumn id="8" name="Protobuf.NET" dataDxfId="2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Table20" displayName="Table2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3" name="Table23" displayName="Table2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Table26" displayName="Table26" ref="B37:K41" totalsRowShown="0">
  <autoFilter ref="B37:K41"/>
  <tableColumns count="10">
    <tableColumn id="1" name="Average"/>
    <tableColumn id="2" name="Newtonsoft.Json" dataDxfId="239">
      <calculatedColumnFormula>AverageNumbers[](Serialization[Newtonsoft (duration)])</calculatedColumnFormula>
    </tableColumn>
    <tableColumn id="3" name=".Net baked full" dataDxfId="238"/>
    <tableColumn id="4" name=".Net baked minimal" dataDxfId="237"/>
    <tableColumn id="8" name="Jackson" dataDxfId="236"/>
    <tableColumn id="7" name="JVM baked full" dataDxfId="235"/>
    <tableColumn id="5" name="JVM baked minimal" dataDxfId="234"/>
    <tableColumn id="6" name="Protobuf.NET" dataDxfId="233"/>
    <tableColumn id="9" name=".NET (instance only)" dataDxfId="232">
      <calculatedColumnFormula>AVERAGE(Both[.NET (instance only)])</calculatedColumnFormula>
    </tableColumn>
    <tableColumn id="10" name="JVM (instance only)" dataDxfId="231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45:I47" totalsRowShown="0">
  <autoFilter ref="B45:I47"/>
  <tableColumns count="8">
    <tableColumn id="1" name="Deviation"/>
    <tableColumn id="2" name="Newtonsoft.Json" dataDxfId="230">
      <calculatedColumnFormula>AverageNumbers[](Serialization[Newtonsoft (duration)])</calculatedColumnFormula>
    </tableColumn>
    <tableColumn id="3" name=".Net baked full" dataDxfId="229"/>
    <tableColumn id="4" name=".Net baked minimal" dataDxfId="228"/>
    <tableColumn id="5" name="Jackson" dataDxfId="227"/>
    <tableColumn id="6" name="JVM baked full" dataDxfId="226"/>
    <tableColumn id="7" name="JVM baked minimal" dataDxfId="225"/>
    <tableColumn id="8" name="Protobuf.NET" dataDxfId="2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K41" totalsRowShown="0">
  <autoFilter ref="B37:K41"/>
  <tableColumns count="10">
    <tableColumn id="1" name="Average"/>
    <tableColumn id="2" name="Newtonsoft.Json" dataDxfId="303">
      <calculatedColumnFormula>AverageNumbers[](Serialization[Newtonsoft (duration)])</calculatedColumnFormula>
    </tableColumn>
    <tableColumn id="3" name=".Net baked full" dataDxfId="302"/>
    <tableColumn id="4" name=".Net baked minimal" dataDxfId="301"/>
    <tableColumn id="8" name="Jackson" dataDxfId="300"/>
    <tableColumn id="7" name="JVM baked full" dataDxfId="299"/>
    <tableColumn id="5" name="JVM baked minimal" dataDxfId="298"/>
    <tableColumn id="6" name="Protobuf.NET" dataDxfId="297"/>
    <tableColumn id="9" name=".NET (instance only)" dataDxfId="296">
      <calculatedColumnFormula>AVERAGE(Both[.NET (instance only)])</calculatedColumnFormula>
    </tableColumn>
    <tableColumn id="10" name="JVM (instance only)" dataDxfId="29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24" displayName="Table2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7" name="Table27" displayName="Table2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Table30" displayName="Table30" ref="B37:K41" totalsRowShown="0">
  <autoFilter ref="B37:K41"/>
  <tableColumns count="10">
    <tableColumn id="1" name="Average"/>
    <tableColumn id="2" name="Newtonsoft.Json" dataDxfId="223">
      <calculatedColumnFormula>AverageNumbers[](Serialization[Newtonsoft (duration)])</calculatedColumnFormula>
    </tableColumn>
    <tableColumn id="3" name=".Net baked full" dataDxfId="222"/>
    <tableColumn id="4" name=".Net baked minimal" dataDxfId="221"/>
    <tableColumn id="8" name="Jackson" dataDxfId="220"/>
    <tableColumn id="7" name="JVM baked full" dataDxfId="219"/>
    <tableColumn id="5" name="JVM baked minimal" dataDxfId="218"/>
    <tableColumn id="6" name="Protobuf.NET" dataDxfId="217"/>
    <tableColumn id="9" name=".NET (instance only)" dataDxfId="216">
      <calculatedColumnFormula>AVERAGE(Both[.NET (instance only)])</calculatedColumnFormula>
    </tableColumn>
    <tableColumn id="10" name="JVM (instance only)" dataDxfId="21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9" name="Table29" displayName="Table29" ref="B45:I47" totalsRowShown="0">
  <autoFilter ref="B45:I47"/>
  <tableColumns count="8">
    <tableColumn id="1" name="Deviation"/>
    <tableColumn id="2" name="Newtonsoft.Json" dataDxfId="214">
      <calculatedColumnFormula>AverageNumbers[](Serialization[Newtonsoft (duration)])</calculatedColumnFormula>
    </tableColumn>
    <tableColumn id="3" name=".Net baked full" dataDxfId="213"/>
    <tableColumn id="4" name=".Net baked minimal" dataDxfId="212"/>
    <tableColumn id="5" name="Jackson" dataDxfId="211"/>
    <tableColumn id="6" name="JVM baked full" dataDxfId="210"/>
    <tableColumn id="7" name="JVM baked minimal" dataDxfId="209"/>
    <tableColumn id="8" name="Protobuf.NET" dataDxfId="20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8" name="Table28" displayName="Table2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1" name="Table31" displayName="Table3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4" name="Table34" displayName="Table34" ref="B37:K41" totalsRowShown="0">
  <autoFilter ref="B37:K41"/>
  <tableColumns count="10">
    <tableColumn id="1" name="Average"/>
    <tableColumn id="2" name="Newtonsoft.Json" dataDxfId="207">
      <calculatedColumnFormula>AverageNumbers[](Serialization[Newtonsoft (duration)])</calculatedColumnFormula>
    </tableColumn>
    <tableColumn id="3" name=".Net baked full" dataDxfId="206"/>
    <tableColumn id="4" name=".Net baked minimal" dataDxfId="205"/>
    <tableColumn id="8" name="Jackson" dataDxfId="204"/>
    <tableColumn id="7" name="JVM baked full" dataDxfId="203"/>
    <tableColumn id="5" name="JVM baked minimal" dataDxfId="202"/>
    <tableColumn id="6" name="Protobuf.NET" dataDxfId="201"/>
    <tableColumn id="9" name=".NET (instance only)" dataDxfId="200">
      <calculatedColumnFormula>AVERAGE(Both[.NET (instance only)])</calculatedColumnFormula>
    </tableColumn>
    <tableColumn id="10" name="JVM (instance only)" dataDxfId="19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B45:I47" totalsRowShown="0">
  <autoFilter ref="B45:I47"/>
  <tableColumns count="8">
    <tableColumn id="1" name="Deviation"/>
    <tableColumn id="2" name="Newtonsoft.Json" dataDxfId="198">
      <calculatedColumnFormula>AverageNumbers[](Serialization[Newtonsoft (duration)])</calculatedColumnFormula>
    </tableColumn>
    <tableColumn id="3" name=".Net baked full" dataDxfId="197"/>
    <tableColumn id="4" name=".Net baked minimal" dataDxfId="196"/>
    <tableColumn id="5" name="Jackson" dataDxfId="195"/>
    <tableColumn id="6" name="JVM baked full" dataDxfId="194"/>
    <tableColumn id="7" name="JVM baked minimal" dataDxfId="193"/>
    <tableColumn id="8" name="Protobuf.NET" dataDxfId="19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2" name="Table32" displayName="Table3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5" displayName="Table3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5:I47" totalsRowShown="0">
  <autoFilter ref="B45:I47"/>
  <tableColumns count="8">
    <tableColumn id="1" name="Deviation"/>
    <tableColumn id="2" name="Newtonsoft.Json" dataDxfId="294">
      <calculatedColumnFormula>AverageNumbers[](Serialization[Newtonsoft (duration)])</calculatedColumnFormula>
    </tableColumn>
    <tableColumn id="3" name=".Net baked full" dataDxfId="293"/>
    <tableColumn id="4" name=".Net baked minimal" dataDxfId="292"/>
    <tableColumn id="5" name="Jackson" dataDxfId="291"/>
    <tableColumn id="6" name="JVM baked full" dataDxfId="290"/>
    <tableColumn id="7" name="JVM baked minimal" dataDxfId="289"/>
    <tableColumn id="8" name="Protobuf.NET" dataDxfId="28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8" name="Table38" displayName="Table38" ref="B37:K41" totalsRowShown="0">
  <autoFilter ref="B37:K41"/>
  <tableColumns count="10">
    <tableColumn id="1" name="Average"/>
    <tableColumn id="2" name="Newtonsoft.Json" dataDxfId="191">
      <calculatedColumnFormula>AverageNumbers[](Serialization[Newtonsoft (duration)])</calculatedColumnFormula>
    </tableColumn>
    <tableColumn id="3" name=".Net baked full" dataDxfId="190"/>
    <tableColumn id="4" name=".Net baked minimal" dataDxfId="189"/>
    <tableColumn id="8" name="Jackson" dataDxfId="188"/>
    <tableColumn id="7" name="JVM baked full" dataDxfId="187"/>
    <tableColumn id="5" name="JVM baked minimal" dataDxfId="186"/>
    <tableColumn id="6" name="Protobuf.NET" dataDxfId="185"/>
    <tableColumn id="9" name=".NET (instance only)" dataDxfId="184">
      <calculatedColumnFormula>AVERAGE(Both[.NET (instance only)])</calculatedColumnFormula>
    </tableColumn>
    <tableColumn id="10" name="JVM (instance only)" dataDxfId="18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7" name="Table37" displayName="Table37" ref="B45:I47" totalsRowShown="0">
  <autoFilter ref="B45:I47"/>
  <tableColumns count="8">
    <tableColumn id="1" name="Deviation"/>
    <tableColumn id="2" name="Newtonsoft.Json" dataDxfId="182">
      <calculatedColumnFormula>AverageNumbers[](Serialization[Newtonsoft (duration)])</calculatedColumnFormula>
    </tableColumn>
    <tableColumn id="3" name=".Net baked full" dataDxfId="181"/>
    <tableColumn id="4" name=".Net baked minimal" dataDxfId="180"/>
    <tableColumn id="5" name="Jackson" dataDxfId="179"/>
    <tableColumn id="6" name="JVM baked full" dataDxfId="178"/>
    <tableColumn id="7" name="JVM baked minimal" dataDxfId="177"/>
    <tableColumn id="8" name="Protobuf.NET" dataDxfId="17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6" name="Table36" displayName="Table3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9" name="Table39" displayName="Table3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2" name="Table42" displayName="Table42" ref="B37:K41" totalsRowShown="0">
  <autoFilter ref="B37:K41"/>
  <tableColumns count="10">
    <tableColumn id="1" name="Average"/>
    <tableColumn id="2" name="Newtonsoft.Json" dataDxfId="175">
      <calculatedColumnFormula>AverageNumbers[](Serialization[Newtonsoft (duration)])</calculatedColumnFormula>
    </tableColumn>
    <tableColumn id="3" name=".Net baked full" dataDxfId="174"/>
    <tableColumn id="4" name=".Net baked minimal" dataDxfId="173"/>
    <tableColumn id="8" name="Jackson" dataDxfId="172"/>
    <tableColumn id="7" name="JVM baked full" dataDxfId="171"/>
    <tableColumn id="5" name="JVM baked minimal" dataDxfId="170"/>
    <tableColumn id="6" name="Protobuf.NET" dataDxfId="169"/>
    <tableColumn id="9" name=".NET (instance only)" dataDxfId="168">
      <calculatedColumnFormula>AVERAGE(Both[.NET (instance only)])</calculatedColumnFormula>
    </tableColumn>
    <tableColumn id="10" name="JVM (instance only)" dataDxfId="16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1" name="Table41" displayName="Table41" ref="B45:I47" totalsRowShown="0">
  <autoFilter ref="B45:I47"/>
  <tableColumns count="8">
    <tableColumn id="1" name="Deviation"/>
    <tableColumn id="2" name="Newtonsoft.Json" dataDxfId="166">
      <calculatedColumnFormula>AverageNumbers[](Serialization[Newtonsoft (duration)])</calculatedColumnFormula>
    </tableColumn>
    <tableColumn id="3" name=".Net baked full" dataDxfId="165"/>
    <tableColumn id="4" name=".Net baked minimal" dataDxfId="164"/>
    <tableColumn id="5" name="Jackson" dataDxfId="163"/>
    <tableColumn id="6" name="JVM baked full" dataDxfId="162"/>
    <tableColumn id="7" name="JVM baked minimal" dataDxfId="161"/>
    <tableColumn id="8" name="Protobuf.NET" dataDxfId="16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0" name="Table40" displayName="Table4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43" name="Table43" displayName="Table4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6" name="Table46" displayName="Table46" ref="B37:K41" totalsRowShown="0">
  <autoFilter ref="B37:K41"/>
  <tableColumns count="10">
    <tableColumn id="1" name="Average"/>
    <tableColumn id="2" name="Newtonsoft.Json" dataDxfId="159">
      <calculatedColumnFormula>AverageNumbers[](Serialization[Newtonsoft (duration)])</calculatedColumnFormula>
    </tableColumn>
    <tableColumn id="3" name=".Net baked full" dataDxfId="158"/>
    <tableColumn id="4" name=".Net baked minimal" dataDxfId="157"/>
    <tableColumn id="8" name="Jackson" dataDxfId="156"/>
    <tableColumn id="7" name="JVM baked full" dataDxfId="155"/>
    <tableColumn id="5" name="JVM baked minimal" dataDxfId="154"/>
    <tableColumn id="6" name="Protobuf.NET" dataDxfId="153"/>
    <tableColumn id="9" name=".NET (instance only)" dataDxfId="152">
      <calculatedColumnFormula>AVERAGE(Both[.NET (instance only)])</calculatedColumnFormula>
    </tableColumn>
    <tableColumn id="10" name="JVM (instance only)" dataDxfId="151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5" name="Table45" displayName="Table45" ref="B45:I47" totalsRowShown="0">
  <autoFilter ref="B45:I47"/>
  <tableColumns count="8">
    <tableColumn id="1" name="Deviation"/>
    <tableColumn id="2" name="Newtonsoft.Json" dataDxfId="150">
      <calculatedColumnFormula>AverageNumbers[](Serialization[Newtonsoft (duration)])</calculatedColumnFormula>
    </tableColumn>
    <tableColumn id="3" name=".Net baked full" dataDxfId="149"/>
    <tableColumn id="4" name=".Net baked minimal" dataDxfId="148"/>
    <tableColumn id="5" name="Jackson" dataDxfId="147"/>
    <tableColumn id="6" name="JVM baked full" dataDxfId="146"/>
    <tableColumn id="7" name="JVM baked minimal" dataDxfId="145"/>
    <tableColumn id="8" name="Protobuf.NET" dataDxfId="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4" name="Table44" displayName="Table4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7" name="Table47" displayName="Table4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0" name="Table50" displayName="Table50" ref="B37:K41" totalsRowShown="0">
  <autoFilter ref="B37:K41"/>
  <tableColumns count="10">
    <tableColumn id="1" name="Average"/>
    <tableColumn id="2" name="Newtonsoft.Json" dataDxfId="143">
      <calculatedColumnFormula>AverageNumbers[](Serialization[Newtonsoft (duration)])</calculatedColumnFormula>
    </tableColumn>
    <tableColumn id="3" name=".Net baked full" dataDxfId="142"/>
    <tableColumn id="4" name=".Net baked minimal" dataDxfId="141"/>
    <tableColumn id="8" name="Jackson" dataDxfId="140"/>
    <tableColumn id="7" name="JVM baked full" dataDxfId="139"/>
    <tableColumn id="5" name="JVM baked minimal" dataDxfId="138"/>
    <tableColumn id="6" name="Protobuf.NET" dataDxfId="137"/>
    <tableColumn id="9" name=".NET (instance only)" dataDxfId="136">
      <calculatedColumnFormula>AVERAGE(Both[.NET (instance only)])</calculatedColumnFormula>
    </tableColumn>
    <tableColumn id="10" name="JVM (instance only)" dataDxfId="13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9" name="Table49" displayName="Table49" ref="B45:I47" totalsRowShown="0">
  <autoFilter ref="B45:I47"/>
  <tableColumns count="8">
    <tableColumn id="1" name="Deviation"/>
    <tableColumn id="2" name="Newtonsoft.Json" dataDxfId="134">
      <calculatedColumnFormula>AverageNumbers[](Serialization[Newtonsoft (duration)])</calculatedColumnFormula>
    </tableColumn>
    <tableColumn id="3" name=".Net baked full" dataDxfId="133"/>
    <tableColumn id="4" name=".Net baked minimal" dataDxfId="132"/>
    <tableColumn id="5" name="Jackson" dataDxfId="131"/>
    <tableColumn id="6" name="JVM baked full" dataDxfId="130"/>
    <tableColumn id="7" name="JVM baked minimal" dataDxfId="129"/>
    <tableColumn id="8" name="Protobuf.NET" dataDxfId="128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8" name="Table48" displayName="Table4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1" name="Table51" displayName="Table5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4" name="Table54" displayName="Table54" ref="B37:K41" totalsRowShown="0">
  <autoFilter ref="B37:K41"/>
  <tableColumns count="10">
    <tableColumn id="1" name="Average"/>
    <tableColumn id="2" name="Newtonsoft.Json" dataDxfId="127">
      <calculatedColumnFormula>AverageNumbers[](Serialization[Newtonsoft (duration)])</calculatedColumnFormula>
    </tableColumn>
    <tableColumn id="3" name=".Net baked full" dataDxfId="126"/>
    <tableColumn id="4" name=".Net baked minimal" dataDxfId="125"/>
    <tableColumn id="8" name="Jackson" dataDxfId="124"/>
    <tableColumn id="7" name="JVM baked full" dataDxfId="123"/>
    <tableColumn id="5" name="JVM baked minimal" dataDxfId="122"/>
    <tableColumn id="6" name="Protobuf.NET" dataDxfId="121"/>
    <tableColumn id="9" name=".NET (instance only)" dataDxfId="120">
      <calculatedColumnFormula>AVERAGE(Both[.NET (instance only)])</calculatedColumnFormula>
    </tableColumn>
    <tableColumn id="10" name="JVM (instance only)" dataDxfId="11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53" name="Table53" displayName="Table53" ref="B45:I47" totalsRowShown="0">
  <autoFilter ref="B45:I47"/>
  <tableColumns count="8">
    <tableColumn id="1" name="Deviation"/>
    <tableColumn id="2" name="Newtonsoft.Json" dataDxfId="118">
      <calculatedColumnFormula>AverageNumbers[](Serialization[Newtonsoft (duration)])</calculatedColumnFormula>
    </tableColumn>
    <tableColumn id="3" name=".Net baked full" dataDxfId="117"/>
    <tableColumn id="4" name=".Net baked minimal" dataDxfId="116"/>
    <tableColumn id="5" name="Jackson" dataDxfId="115"/>
    <tableColumn id="6" name="JVM baked full" dataDxfId="114"/>
    <tableColumn id="7" name="JVM baked minimal" dataDxfId="113"/>
    <tableColumn id="8" name="Protobuf.NET" dataDxfId="11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2" name="Table52" displayName="Table5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5" name="Table55" displayName="Table5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8" name="Table58" displayName="Table58" ref="B37:K41" totalsRowShown="0">
  <autoFilter ref="B37:K41"/>
  <tableColumns count="10">
    <tableColumn id="1" name="Average"/>
    <tableColumn id="2" name="Newtonsoft.Json" dataDxfId="111">
      <calculatedColumnFormula>AverageNumbers[](Serialization[Newtonsoft (duration)])</calculatedColumnFormula>
    </tableColumn>
    <tableColumn id="3" name=".Net baked full" dataDxfId="110"/>
    <tableColumn id="4" name=".Net baked minimal" dataDxfId="109"/>
    <tableColumn id="8" name="Jackson" dataDxfId="108"/>
    <tableColumn id="7" name="JVM baked full" dataDxfId="107"/>
    <tableColumn id="5" name="JVM baked minimal" dataDxfId="106"/>
    <tableColumn id="6" name="Protobuf.NET" dataDxfId="105"/>
    <tableColumn id="9" name=".NET (instance only)" dataDxfId="104">
      <calculatedColumnFormula>AVERAGE(Both[.NET (instance only)])</calculatedColumnFormula>
    </tableColumn>
    <tableColumn id="10" name="JVM (instance only)" dataDxfId="10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7" name="Table57" displayName="Table57" ref="B45:I47" totalsRowShown="0">
  <autoFilter ref="B45:I47"/>
  <tableColumns count="8">
    <tableColumn id="1" name="Deviation"/>
    <tableColumn id="2" name="Newtonsoft.Json" dataDxfId="102">
      <calculatedColumnFormula>AverageNumbers[](Serialization[Newtonsoft (duration)])</calculatedColumnFormula>
    </tableColumn>
    <tableColumn id="3" name=".Net baked full" dataDxfId="101"/>
    <tableColumn id="4" name=".Net baked minimal" dataDxfId="100"/>
    <tableColumn id="5" name="Jackson" dataDxfId="99"/>
    <tableColumn id="6" name="JVM baked full" dataDxfId="98"/>
    <tableColumn id="7" name="JVM baked minimal" dataDxfId="97"/>
    <tableColumn id="8" name="Protobuf.NET" dataDxfId="96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6" name="Table56" displayName="Table5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9" name="Table59" displayName="Table5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2" name="Table62" displayName="Table62" ref="B37:K41" totalsRowShown="0">
  <autoFilter ref="B37:K41"/>
  <tableColumns count="10">
    <tableColumn id="1" name="Average"/>
    <tableColumn id="2" name="Newtonsoft.Json" dataDxfId="95">
      <calculatedColumnFormula>AverageNumbers[](Serialization[Newtonsoft (duration)])</calculatedColumnFormula>
    </tableColumn>
    <tableColumn id="3" name=".Net baked full" dataDxfId="94"/>
    <tableColumn id="4" name=".Net baked minimal" dataDxfId="93"/>
    <tableColumn id="8" name="Jackson" dataDxfId="92"/>
    <tableColumn id="7" name="JVM baked full" dataDxfId="91"/>
    <tableColumn id="5" name="JVM baked minimal" dataDxfId="90"/>
    <tableColumn id="6" name="Protobuf.NET" dataDxfId="89"/>
    <tableColumn id="9" name=".NET (instance only)" dataDxfId="88">
      <calculatedColumnFormula>AVERAGE(Both[.NET (instance only)])</calculatedColumnFormula>
    </tableColumn>
    <tableColumn id="10" name="JVM (instance only)" dataDxfId="8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1" name="Table61" displayName="Table61" ref="B45:I47" totalsRowShown="0">
  <autoFilter ref="B45:I47"/>
  <tableColumns count="8">
    <tableColumn id="1" name="Deviation"/>
    <tableColumn id="2" name="Newtonsoft.Json" dataDxfId="86">
      <calculatedColumnFormula>AverageNumbers[](Serialization[Newtonsoft (duration)])</calculatedColumnFormula>
    </tableColumn>
    <tableColumn id="3" name=".Net baked full" dataDxfId="85"/>
    <tableColumn id="4" name=".Net baked minimal" dataDxfId="84"/>
    <tableColumn id="5" name="Jackson" dataDxfId="83"/>
    <tableColumn id="6" name="JVM baked full" dataDxfId="82"/>
    <tableColumn id="7" name="JVM baked minimal" dataDxfId="81"/>
    <tableColumn id="8" name="Protobuf.NET" dataDxfId="8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0" name="Table60" displayName="Table6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63" name="Table63" displayName="Table6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6" name="Table66" displayName="Table66" ref="B37:K41" totalsRowShown="0">
  <autoFilter ref="B37:K41"/>
  <tableColumns count="10">
    <tableColumn id="1" name="Average"/>
    <tableColumn id="2" name="Newtonsoft.Json" dataDxfId="79">
      <calculatedColumnFormula>AverageNumbers[](Serialization[Newtonsoft (duration)])</calculatedColumnFormula>
    </tableColumn>
    <tableColumn id="3" name=".Net baked full" dataDxfId="78"/>
    <tableColumn id="4" name=".Net baked minimal" dataDxfId="77"/>
    <tableColumn id="8" name="Jackson" dataDxfId="76"/>
    <tableColumn id="7" name="JVM baked full" dataDxfId="75"/>
    <tableColumn id="5" name="JVM baked minimal" dataDxfId="74"/>
    <tableColumn id="6" name="Protobuf.NET" dataDxfId="73"/>
    <tableColumn id="9" name=".NET (instance only)" dataDxfId="72">
      <calculatedColumnFormula>AVERAGE(Both[.NET (instance only)])</calculatedColumnFormula>
    </tableColumn>
    <tableColumn id="10" name="JVM (instance only)" dataDxfId="71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5" name="Table65" displayName="Table65" ref="B45:I47" totalsRowShown="0">
  <autoFilter ref="B45:I47"/>
  <tableColumns count="8">
    <tableColumn id="1" name="Deviation"/>
    <tableColumn id="2" name="Newtonsoft.Json" dataDxfId="70">
      <calculatedColumnFormula>AverageNumbers[](Serialization[Newtonsoft (duration)])</calculatedColumnFormula>
    </tableColumn>
    <tableColumn id="3" name=".Net baked full" dataDxfId="69"/>
    <tableColumn id="4" name=".Net baked minimal" dataDxfId="68"/>
    <tableColumn id="5" name="Jackson" dataDxfId="67"/>
    <tableColumn id="6" name="JVM baked full" dataDxfId="66"/>
    <tableColumn id="7" name="JVM baked minimal" dataDxfId="65"/>
    <tableColumn id="8" name="Protobuf.NET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14" displayName="Table14" ref="B37:K41" totalsRowShown="0">
  <autoFilter ref="B37:K41"/>
  <tableColumns count="10">
    <tableColumn id="1" name="Average"/>
    <tableColumn id="2" name="Newtonsoft.Json" dataDxfId="287">
      <calculatedColumnFormula>AverageNumbers[](Serialization[Newtonsoft (duration)])</calculatedColumnFormula>
    </tableColumn>
    <tableColumn id="3" name=".Net baked full" dataDxfId="286"/>
    <tableColumn id="4" name=".Net baked minimal" dataDxfId="285"/>
    <tableColumn id="8" name="Jackson" dataDxfId="284"/>
    <tableColumn id="7" name="JVM baked full" dataDxfId="283"/>
    <tableColumn id="5" name="JVM baked minimal" dataDxfId="282"/>
    <tableColumn id="6" name="Protobuf.NET" dataDxfId="281"/>
    <tableColumn id="9" name=".NET (instance only)" dataDxfId="280">
      <calculatedColumnFormula>AVERAGE(Both[.NET (instance only)])</calculatedColumnFormula>
    </tableColumn>
    <tableColumn id="10" name="JVM (instance only)" dataDxfId="27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4" name="Table64" displayName="Table6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7" name="Table67" displayName="Table6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0" name="Table70" displayName="Table70" ref="B37:K41" totalsRowShown="0">
  <autoFilter ref="B37:K41"/>
  <tableColumns count="10">
    <tableColumn id="1" name="Average"/>
    <tableColumn id="2" name="Newtonsoft.Json" dataDxfId="63">
      <calculatedColumnFormula>AverageNumbers[](Serialization[Newtonsoft (duration)])</calculatedColumnFormula>
    </tableColumn>
    <tableColumn id="3" name=".Net baked full" dataDxfId="62"/>
    <tableColumn id="4" name=".Net baked minimal" dataDxfId="61"/>
    <tableColumn id="8" name="Jackson" dataDxfId="60"/>
    <tableColumn id="7" name="JVM baked full" dataDxfId="59"/>
    <tableColumn id="5" name="JVM baked minimal" dataDxfId="58"/>
    <tableColumn id="6" name="Protobuf.NET" dataDxfId="57"/>
    <tableColumn id="9" name=".NET (instance only)" dataDxfId="56">
      <calculatedColumnFormula>AVERAGE(Both[.NET (instance only)])</calculatedColumnFormula>
    </tableColumn>
    <tableColumn id="10" name="JVM (instance only)" dataDxfId="5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9" name="Table69" displayName="Table69" ref="B45:I47" totalsRowShown="0">
  <autoFilter ref="B45:I47"/>
  <tableColumns count="8">
    <tableColumn id="1" name="Deviation"/>
    <tableColumn id="2" name="Newtonsoft.Json" dataDxfId="54">
      <calculatedColumnFormula>AverageNumbers[](Serialization[Newtonsoft (duration)])</calculatedColumnFormula>
    </tableColumn>
    <tableColumn id="3" name=".Net baked full" dataDxfId="53"/>
    <tableColumn id="4" name=".Net baked minimal" dataDxfId="52"/>
    <tableColumn id="5" name="Jackson" dataDxfId="51"/>
    <tableColumn id="6" name="JVM baked full" dataDxfId="50"/>
    <tableColumn id="7" name="JVM baked minimal" dataDxfId="49"/>
    <tableColumn id="8" name="Protobuf.NET" dataDxfId="48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8" name="Table68" displayName="Table6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1" name="Table71" displayName="Table7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4" name="Table74" displayName="Table74" ref="B37:K41" totalsRowShown="0">
  <autoFilter ref="B37:K41"/>
  <tableColumns count="10">
    <tableColumn id="1" name="Average"/>
    <tableColumn id="2" name="Newtonsoft.Json" dataDxfId="47">
      <calculatedColumnFormula>AverageNumbers[](Serialization[Newtonsoft (duration)])</calculatedColumnFormula>
    </tableColumn>
    <tableColumn id="3" name=".Net baked full" dataDxfId="46"/>
    <tableColumn id="4" name=".Net baked minimal" dataDxfId="45"/>
    <tableColumn id="8" name="Jackson" dataDxfId="44"/>
    <tableColumn id="7" name="JVM baked full" dataDxfId="43"/>
    <tableColumn id="5" name="JVM baked minimal" dataDxfId="42"/>
    <tableColumn id="6" name="Protobuf.NET" dataDxfId="41"/>
    <tableColumn id="9" name=".NET (instance only)" dataDxfId="40">
      <calculatedColumnFormula>AVERAGE(Both[.NET (instance only)])</calculatedColumnFormula>
    </tableColumn>
    <tableColumn id="10" name="JVM (instance only)" dataDxfId="3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73" name="Table73" displayName="Table73" ref="B45:I47" totalsRowShown="0">
  <autoFilter ref="B45:I47"/>
  <tableColumns count="8">
    <tableColumn id="1" name="Deviation"/>
    <tableColumn id="2" name="Newtonsoft.Json" dataDxfId="38">
      <calculatedColumnFormula>AverageNumbers[](Serialization[Newtonsoft (duration)])</calculatedColumnFormula>
    </tableColumn>
    <tableColumn id="3" name=".Net baked full" dataDxfId="37"/>
    <tableColumn id="4" name=".Net baked minimal" dataDxfId="36"/>
    <tableColumn id="5" name="Jackson" dataDxfId="35"/>
    <tableColumn id="6" name="JVM baked full" dataDxfId="34"/>
    <tableColumn id="7" name="JVM baked minimal" dataDxfId="33"/>
    <tableColumn id="8" name="Protobuf.NET" dataDxfId="32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2" name="Table72" displayName="Table7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5" name="Table75" displayName="Table7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B45:I47" totalsRowShown="0">
  <autoFilter ref="B45:I47"/>
  <tableColumns count="8">
    <tableColumn id="1" name="Deviation"/>
    <tableColumn id="2" name="Newtonsoft.Json" dataDxfId="278">
      <calculatedColumnFormula>AverageNumbers[](Serialization[Newtonsoft (duration)])</calculatedColumnFormula>
    </tableColumn>
    <tableColumn id="3" name=".Net baked full" dataDxfId="277"/>
    <tableColumn id="4" name=".Net baked minimal" dataDxfId="276"/>
    <tableColumn id="5" name="Jackson" dataDxfId="275"/>
    <tableColumn id="6" name="JVM baked full" dataDxfId="274"/>
    <tableColumn id="7" name="JVM baked minimal" dataDxfId="273"/>
    <tableColumn id="8" name="Protobuf.NET" dataDxfId="272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8" name="Table78" displayName="Table78" ref="B37:K41" totalsRowShown="0">
  <autoFilter ref="B37:K41"/>
  <tableColumns count="10">
    <tableColumn id="1" name="Average"/>
    <tableColumn id="2" name="Newtonsoft.Json" dataDxfId="31">
      <calculatedColumnFormula>AverageNumbers[](Serialization[Newtonsoft (duration)])</calculatedColumnFormula>
    </tableColumn>
    <tableColumn id="3" name=".Net baked full" dataDxfId="30"/>
    <tableColumn id="4" name=".Net baked minimal" dataDxfId="29"/>
    <tableColumn id="8" name="Jackson" dataDxfId="28"/>
    <tableColumn id="7" name="JVM baked full" dataDxfId="27"/>
    <tableColumn id="5" name="JVM baked minimal" dataDxfId="26"/>
    <tableColumn id="6" name="Protobuf.NET" dataDxfId="25"/>
    <tableColumn id="9" name=".NET (instance only)" dataDxfId="24">
      <calculatedColumnFormula>AVERAGE(Both[.NET (instance only)])</calculatedColumnFormula>
    </tableColumn>
    <tableColumn id="10" name="JVM (instance only)" dataDxfId="2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7" name="Table77" displayName="Table77" ref="B45:I47" totalsRowShown="0">
  <autoFilter ref="B45:I47"/>
  <tableColumns count="8">
    <tableColumn id="1" name="Deviation"/>
    <tableColumn id="2" name="Newtonsoft.Json" dataDxfId="22">
      <calculatedColumnFormula>AverageNumbers[](Serialization[Newtonsoft (duration)])</calculatedColumnFormula>
    </tableColumn>
    <tableColumn id="3" name=".Net baked full" dataDxfId="21"/>
    <tableColumn id="4" name=".Net baked minimal" dataDxfId="20"/>
    <tableColumn id="5" name="Jackson" dataDxfId="19"/>
    <tableColumn id="6" name="JVM baked full" dataDxfId="18"/>
    <tableColumn id="7" name="JVM baked minimal" dataDxfId="17"/>
    <tableColumn id="8" name="Protobuf.NET" dataDxfId="1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6" name="Table76" displayName="Table7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9" name="Table79" displayName="Table7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2" name="Table82" displayName="Table8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1" name="Table81" displayName="Table8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0" name="Table80" displayName="Table8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52.xml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76.xml"/><Relationship Id="rId5" Type="http://schemas.openxmlformats.org/officeDocument/2006/relationships/table" Target="../tables/table75.xml"/><Relationship Id="rId4" Type="http://schemas.openxmlformats.org/officeDocument/2006/relationships/table" Target="../tables/table7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39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AVERAGE(Table39[Newtonsoft (duration)]) - J38</f>
        <v>1564.3333333333335</v>
      </c>
      <c r="D38" s="2">
        <f>AVERAGE(Table39[.NET baked full (duration)]) - J38</f>
        <v>321.66666666666669</v>
      </c>
      <c r="E38" s="2">
        <f>AVERAGE(Table39[.NET baked minimal (duration)]) - J38</f>
        <v>316</v>
      </c>
      <c r="F38" s="2">
        <f>AVERAGE(Table39[Jackson (duration)]) - J39</f>
        <v>196.33333333333334</v>
      </c>
      <c r="G38" s="2">
        <f>AVERAGE(Table39[JVM baked full (duration)]) - J39</f>
        <v>132.33333333333334</v>
      </c>
      <c r="H38" s="2">
        <f>AVERAGE(Table39[JVM baked minimal (duration)]) - J39</f>
        <v>136</v>
      </c>
      <c r="I38" s="2">
        <f>AVERAGE(Table39[Protobuf.NET (duration)]) - J38</f>
        <v>80.333333333333329</v>
      </c>
      <c r="J38" s="2">
        <f>AVERAGE(Table40[.NET (instance only)])</f>
        <v>86.333333333333329</v>
      </c>
      <c r="K38" s="2">
        <f>AVERAGE(Table40[JVM (instance only)])</f>
        <v>65.333333333333329</v>
      </c>
    </row>
    <row r="39" spans="2:11" x14ac:dyDescent="0.25">
      <c r="B39" t="s">
        <v>3</v>
      </c>
      <c r="C39" s="2">
        <f>C40-C38</f>
        <v>1984.333333333333</v>
      </c>
      <c r="D39" s="2">
        <f t="shared" ref="D39:I39" si="0">D40-D38</f>
        <v>166.66666666666663</v>
      </c>
      <c r="E39" s="2">
        <f t="shared" si="0"/>
        <v>184.00000000000006</v>
      </c>
      <c r="F39" s="2">
        <f t="shared" ref="F39:H39" si="1">F40-F38</f>
        <v>289.33333333333337</v>
      </c>
      <c r="G39" s="2">
        <f t="shared" si="1"/>
        <v>43</v>
      </c>
      <c r="H39" s="2">
        <f t="shared" si="1"/>
        <v>32.333333333333343</v>
      </c>
      <c r="I39" s="2">
        <f t="shared" si="0"/>
        <v>201.66666666666669</v>
      </c>
      <c r="J39" s="2"/>
      <c r="K39" s="2"/>
    </row>
    <row r="40" spans="2:11" x14ac:dyDescent="0.25">
      <c r="B40" t="s">
        <v>1</v>
      </c>
      <c r="C40" s="2">
        <f>AVERAGE(Table40[Newtonsoft (duration)]) - J38</f>
        <v>3548.6666666666665</v>
      </c>
      <c r="D40" s="2">
        <f>AVERAGE(Table40[.NET baked full (duration)]) - J38</f>
        <v>488.33333333333331</v>
      </c>
      <c r="E40" s="2">
        <f>AVERAGE(Table40[.NET baked minimal (duration)]) - J38</f>
        <v>500.00000000000006</v>
      </c>
      <c r="F40" s="2">
        <f>AVERAGE(Table40[Jackson (duration)]) - J39</f>
        <v>485.66666666666669</v>
      </c>
      <c r="G40" s="2">
        <f>AVERAGE(Table40[JVM baked full (duration)]) - J39</f>
        <v>175.33333333333334</v>
      </c>
      <c r="H40" s="2">
        <f>AVERAGE(Table40[JVM baked minimal (duration)]) - J39</f>
        <v>168.33333333333334</v>
      </c>
      <c r="I40" s="2">
        <f>AVERAGE(Table40[Protobuf.NET (duration)]) - J38</f>
        <v>282</v>
      </c>
      <c r="J40" s="2"/>
      <c r="K40" s="2"/>
    </row>
    <row r="41" spans="2:11" x14ac:dyDescent="0.25">
      <c r="B41" t="s">
        <v>8</v>
      </c>
      <c r="C41" s="3">
        <f>AVERAGE(Table39[Newtonsoft (size)])</f>
        <v>12968475.666666666</v>
      </c>
      <c r="D41" s="3">
        <f>AVERAGE(Table39[.NET baked full (size)])</f>
        <v>11469863.666666666</v>
      </c>
      <c r="E41" s="3">
        <f>AVERAGE(Table39[.NET baked minimal (size)])</f>
        <v>11469908.333333334</v>
      </c>
      <c r="F41" s="3">
        <f>AVERAGE(Table39[Jackson (size)])</f>
        <v>11025974</v>
      </c>
      <c r="G41" s="3">
        <f>AVERAGE(Table39[JVM baked full (size)])</f>
        <v>11025975</v>
      </c>
      <c r="H41" s="3">
        <f>AVERAGE(Table39[JVM baked minimal (size)])</f>
        <v>10325975</v>
      </c>
      <c r="I41" s="3">
        <f>AVERAGE(Table39[Protobuf.NET (size)])</f>
        <v>7178564.666666667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DEVSQ(Table39[Newtonsoft (duration)])</f>
        <v>104.66666666666666</v>
      </c>
      <c r="D46" s="2">
        <f>DEVSQ(Table39[.NET baked full (duration)])</f>
        <v>542</v>
      </c>
      <c r="E46" s="2">
        <f>DEVSQ(Table39[.NET baked minimal (duration)])</f>
        <v>2.666666666666667</v>
      </c>
      <c r="F46" s="2">
        <f>DEVSQ(Table39[Jackson (duration)])</f>
        <v>18.666666666666668</v>
      </c>
      <c r="G46" s="2">
        <f>DEVSQ(Table39[JVM baked full (duration)])</f>
        <v>524.66666666666674</v>
      </c>
      <c r="H46" s="2">
        <f>DEVSQ(Table39[JVM baked minimal (duration)])</f>
        <v>906</v>
      </c>
      <c r="I46" s="2">
        <f>DEVSQ(Table39[Protobuf.NET (duration)])</f>
        <v>138.66666666666666</v>
      </c>
    </row>
    <row r="47" spans="2:11" x14ac:dyDescent="0.25">
      <c r="B47" t="s">
        <v>1</v>
      </c>
      <c r="C47" s="2">
        <f>DEVSQ(Table40[Newtonsoft (duration)])</f>
        <v>936</v>
      </c>
      <c r="D47" s="2">
        <f>DEVSQ(Table40[.NET baked full (duration)])</f>
        <v>40.666666666666664</v>
      </c>
      <c r="E47" s="2">
        <f>DEVSQ(Table40[.NET baked minimal (duration)])</f>
        <v>770.66666666666663</v>
      </c>
      <c r="F47" s="2">
        <f>DEVSQ(Table40[Jackson (duration)])</f>
        <v>738.66666666666663</v>
      </c>
      <c r="G47" s="2">
        <f>DEVSQ(Table40[JVM baked full (duration)])</f>
        <v>16.666666666666668</v>
      </c>
      <c r="H47" s="2">
        <f>DEVSQ(Table40[JVM baked minimal (duration)])</f>
        <v>4.666666666666667</v>
      </c>
      <c r="I47" s="2">
        <f>DEVSQ(Table40[Protobuf.NET (duration)])</f>
        <v>772.66666666666663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1647</v>
      </c>
      <c r="C52">
        <v>12968860</v>
      </c>
      <c r="D52">
        <v>399</v>
      </c>
      <c r="E52">
        <v>11469745</v>
      </c>
      <c r="F52">
        <v>401</v>
      </c>
      <c r="G52">
        <v>11469959</v>
      </c>
      <c r="H52">
        <v>199</v>
      </c>
      <c r="I52">
        <v>11025974</v>
      </c>
      <c r="J52">
        <v>124</v>
      </c>
      <c r="K52">
        <v>11025975</v>
      </c>
      <c r="L52">
        <v>159</v>
      </c>
      <c r="M52">
        <v>10325975</v>
      </c>
      <c r="N52">
        <v>176</v>
      </c>
      <c r="O52">
        <v>7178574</v>
      </c>
    </row>
    <row r="53" spans="2:15" x14ac:dyDescent="0.25">
      <c r="B53">
        <v>1659</v>
      </c>
      <c r="C53">
        <v>12967718</v>
      </c>
      <c r="D53">
        <v>398</v>
      </c>
      <c r="E53">
        <v>11469959</v>
      </c>
      <c r="F53">
        <v>403</v>
      </c>
      <c r="G53">
        <v>11469905</v>
      </c>
      <c r="H53">
        <v>193</v>
      </c>
      <c r="I53">
        <v>11025974</v>
      </c>
      <c r="J53">
        <v>122</v>
      </c>
      <c r="K53">
        <v>11025975</v>
      </c>
      <c r="L53">
        <v>132</v>
      </c>
      <c r="M53">
        <v>10325975</v>
      </c>
      <c r="N53">
        <v>160</v>
      </c>
      <c r="O53">
        <v>7178590</v>
      </c>
    </row>
    <row r="54" spans="2:15" x14ac:dyDescent="0.25">
      <c r="B54">
        <v>1646</v>
      </c>
      <c r="C54">
        <v>12968849</v>
      </c>
      <c r="D54">
        <v>427</v>
      </c>
      <c r="E54">
        <v>11469887</v>
      </c>
      <c r="F54">
        <v>403</v>
      </c>
      <c r="G54">
        <v>11469861</v>
      </c>
      <c r="H54">
        <v>197</v>
      </c>
      <c r="I54">
        <v>11025974</v>
      </c>
      <c r="J54">
        <v>151</v>
      </c>
      <c r="K54">
        <v>11025975</v>
      </c>
      <c r="L54">
        <v>117</v>
      </c>
      <c r="M54">
        <v>10325975</v>
      </c>
      <c r="N54">
        <v>164</v>
      </c>
      <c r="O54">
        <v>7178530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3611</v>
      </c>
      <c r="C58">
        <v>579</v>
      </c>
      <c r="D58">
        <v>575</v>
      </c>
      <c r="E58">
        <v>489</v>
      </c>
      <c r="F58">
        <v>177</v>
      </c>
      <c r="G58">
        <v>170</v>
      </c>
      <c r="H58">
        <v>391</v>
      </c>
      <c r="I58">
        <v>87</v>
      </c>
      <c r="J58">
        <v>66</v>
      </c>
    </row>
    <row r="59" spans="2:15" x14ac:dyDescent="0.25">
      <c r="B59">
        <v>3653</v>
      </c>
      <c r="C59">
        <v>575</v>
      </c>
      <c r="D59">
        <v>575</v>
      </c>
      <c r="E59">
        <v>503</v>
      </c>
      <c r="F59">
        <v>177</v>
      </c>
      <c r="G59">
        <v>167</v>
      </c>
      <c r="H59">
        <v>356</v>
      </c>
      <c r="I59">
        <v>86</v>
      </c>
      <c r="J59">
        <v>65</v>
      </c>
    </row>
    <row r="60" spans="2:15" x14ac:dyDescent="0.25">
      <c r="B60">
        <v>3641</v>
      </c>
      <c r="C60">
        <v>570</v>
      </c>
      <c r="D60">
        <v>609</v>
      </c>
      <c r="E60">
        <v>465</v>
      </c>
      <c r="F60">
        <v>172</v>
      </c>
      <c r="G60">
        <v>168</v>
      </c>
      <c r="H60">
        <v>358</v>
      </c>
      <c r="I60">
        <v>86</v>
      </c>
      <c r="J60">
        <v>65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40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AVERAGE(Table43[Newtonsoft (duration)]) - J38</f>
        <v>16131.666666666666</v>
      </c>
      <c r="D38" s="2">
        <f>AVERAGE(Table43[.NET baked full (duration)]) - J38</f>
        <v>3455.0000000000005</v>
      </c>
      <c r="E38" s="2">
        <f>AVERAGE(Table43[.NET baked minimal (duration)]) - J38</f>
        <v>3305.3333333333335</v>
      </c>
      <c r="F38" s="2">
        <f>AVERAGE(Table43[Jackson (duration)]) - J39</f>
        <v>1016</v>
      </c>
      <c r="G38" s="2">
        <f>AVERAGE(Table43[JVM baked full (duration)]) - J39</f>
        <v>642</v>
      </c>
      <c r="H38" s="2">
        <f>AVERAGE(Table43[JVM baked minimal (duration)]) - J39</f>
        <v>634.66666666666663</v>
      </c>
      <c r="I38" s="2">
        <f>AVERAGE(Table43[Protobuf.NET (duration)]) - J38</f>
        <v>784.00000000000011</v>
      </c>
      <c r="J38" s="2">
        <f>AVERAGE(Table44[.NET (instance only)])</f>
        <v>872.66666666666663</v>
      </c>
      <c r="K38" s="2">
        <f>AVERAGE(Table44[JVM (instance only)])</f>
        <v>312</v>
      </c>
    </row>
    <row r="39" spans="2:11" x14ac:dyDescent="0.25">
      <c r="B39" t="s">
        <v>3</v>
      </c>
      <c r="C39" s="2">
        <f>C40-C38</f>
        <v>19961.666666666672</v>
      </c>
      <c r="D39" s="2">
        <f t="shared" ref="D39:I39" si="0">D40-D38</f>
        <v>1793.9999999999995</v>
      </c>
      <c r="E39" s="2">
        <f t="shared" si="0"/>
        <v>1767.9999999999995</v>
      </c>
      <c r="F39" s="2">
        <f t="shared" ref="F39:H39" si="1">F40-F38</f>
        <v>1718.3333333333335</v>
      </c>
      <c r="G39" s="2">
        <f t="shared" si="1"/>
        <v>378.33333333333337</v>
      </c>
      <c r="H39" s="2">
        <f t="shared" si="1"/>
        <v>327</v>
      </c>
      <c r="I39" s="2">
        <f t="shared" si="0"/>
        <v>2109</v>
      </c>
      <c r="J39" s="2"/>
      <c r="K39" s="2"/>
    </row>
    <row r="40" spans="2:11" x14ac:dyDescent="0.25">
      <c r="B40" t="s">
        <v>1</v>
      </c>
      <c r="C40" s="2">
        <f>AVERAGE(Table44[Newtonsoft (duration)]) - J38</f>
        <v>36093.333333333336</v>
      </c>
      <c r="D40" s="2">
        <f>AVERAGE(Table44[.NET baked full (duration)]) - J38</f>
        <v>5249</v>
      </c>
      <c r="E40" s="2">
        <f>AVERAGE(Table44[.NET baked minimal (duration)]) - J38</f>
        <v>5073.333333333333</v>
      </c>
      <c r="F40" s="2">
        <f>AVERAGE(Table44[Jackson (duration)]) - J39</f>
        <v>2734.3333333333335</v>
      </c>
      <c r="G40" s="2">
        <f>AVERAGE(Table44[JVM baked full (duration)]) - J39</f>
        <v>1020.3333333333334</v>
      </c>
      <c r="H40" s="2">
        <f>AVERAGE(Table44[JVM baked minimal (duration)]) - J39</f>
        <v>961.66666666666663</v>
      </c>
      <c r="I40" s="2">
        <f>AVERAGE(Table44[Protobuf.NET (duration)]) - J38</f>
        <v>2893</v>
      </c>
      <c r="J40" s="2"/>
      <c r="K40" s="2"/>
    </row>
    <row r="41" spans="2:11" x14ac:dyDescent="0.25">
      <c r="B41" t="s">
        <v>8</v>
      </c>
      <c r="C41" s="3">
        <f>AVERAGE(Table43[Newtonsoft (size)])</f>
        <v>132634103.66666667</v>
      </c>
      <c r="D41" s="3">
        <f>AVERAGE(Table43[.NET baked full (size)])</f>
        <v>117589393</v>
      </c>
      <c r="E41" s="3">
        <f>AVERAGE(Table43[.NET baked minimal (size)])</f>
        <v>117589716.33333333</v>
      </c>
      <c r="F41" s="3">
        <f>AVERAGE(Table43[Jackson (size)])</f>
        <v>112260134</v>
      </c>
      <c r="G41" s="3">
        <f>AVERAGE(Table43[JVM baked full (size)])</f>
        <v>112260150</v>
      </c>
      <c r="H41" s="3">
        <f>AVERAGE(Table43[JVM baked minimal (size)])</f>
        <v>105260150</v>
      </c>
      <c r="I41" s="3">
        <f>AVERAGE(Table43[Protobuf.NET (size)])</f>
        <v>73806082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DEVSQ(Table43[Newtonsoft (duration)])</f>
        <v>39468.666666666664</v>
      </c>
      <c r="D46" s="2">
        <f>DEVSQ(Table43[.NET baked full (duration)])</f>
        <v>93704.666666666672</v>
      </c>
      <c r="E46" s="2">
        <f>DEVSQ(Table43[.NET baked minimal (duration)])</f>
        <v>1442</v>
      </c>
      <c r="F46" s="2">
        <f>DEVSQ(Table43[Jackson (duration)])</f>
        <v>134</v>
      </c>
      <c r="G46" s="2">
        <f>DEVSQ(Table43[JVM baked full (duration)])</f>
        <v>86</v>
      </c>
      <c r="H46" s="2">
        <f>DEVSQ(Table43[JVM baked minimal (duration)])</f>
        <v>88.666666666666657</v>
      </c>
      <c r="I46" s="2">
        <f>DEVSQ(Table43[Protobuf.NET (duration)])</f>
        <v>2064.666666666667</v>
      </c>
    </row>
    <row r="47" spans="2:11" x14ac:dyDescent="0.25">
      <c r="B47" t="s">
        <v>1</v>
      </c>
      <c r="C47" s="2">
        <f>DEVSQ(Table44[Newtonsoft (duration)])</f>
        <v>205046</v>
      </c>
      <c r="D47" s="2">
        <f>DEVSQ(Table44[.NET baked full (duration)])</f>
        <v>151200.66666666666</v>
      </c>
      <c r="E47" s="2">
        <f>DEVSQ(Table44[.NET baked minimal (duration)])</f>
        <v>10586</v>
      </c>
      <c r="F47" s="2">
        <f>DEVSQ(Table44[Jackson (duration)])</f>
        <v>5864.666666666667</v>
      </c>
      <c r="G47" s="2">
        <f>DEVSQ(Table44[JVM baked full (duration)])</f>
        <v>42.666666666666664</v>
      </c>
      <c r="H47" s="2">
        <f>DEVSQ(Table44[JVM baked minimal (duration)])</f>
        <v>330.66666666666669</v>
      </c>
      <c r="I47" s="2">
        <f>DEVSQ(Table44[Protobuf.NET (duration)])</f>
        <v>61752.666666666672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16935</v>
      </c>
      <c r="C52">
        <v>132635452</v>
      </c>
      <c r="D52">
        <v>4228</v>
      </c>
      <c r="E52">
        <v>117587436</v>
      </c>
      <c r="F52">
        <v>4162</v>
      </c>
      <c r="G52">
        <v>117590485</v>
      </c>
      <c r="H52">
        <v>1014</v>
      </c>
      <c r="I52">
        <v>112260134</v>
      </c>
      <c r="J52">
        <v>648</v>
      </c>
      <c r="K52">
        <v>112260150</v>
      </c>
      <c r="L52">
        <v>633</v>
      </c>
      <c r="M52">
        <v>105260150</v>
      </c>
      <c r="N52">
        <v>1660</v>
      </c>
      <c r="O52">
        <v>73804487</v>
      </c>
    </row>
    <row r="53" spans="2:15" x14ac:dyDescent="0.25">
      <c r="B53">
        <v>17166</v>
      </c>
      <c r="C53">
        <v>132633376</v>
      </c>
      <c r="D53">
        <v>4576</v>
      </c>
      <c r="E53">
        <v>117588638</v>
      </c>
      <c r="F53">
        <v>4163</v>
      </c>
      <c r="G53">
        <v>117588752</v>
      </c>
      <c r="H53">
        <v>1025</v>
      </c>
      <c r="I53">
        <v>112260134</v>
      </c>
      <c r="J53">
        <v>643</v>
      </c>
      <c r="K53">
        <v>112260150</v>
      </c>
      <c r="L53">
        <v>629</v>
      </c>
      <c r="M53">
        <v>105260150</v>
      </c>
      <c r="N53">
        <v>1687</v>
      </c>
      <c r="O53">
        <v>73807725</v>
      </c>
    </row>
    <row r="54" spans="2:15" x14ac:dyDescent="0.25">
      <c r="B54">
        <v>16912</v>
      </c>
      <c r="C54">
        <v>132633483</v>
      </c>
      <c r="D54">
        <v>4179</v>
      </c>
      <c r="E54">
        <v>117592105</v>
      </c>
      <c r="F54">
        <v>4209</v>
      </c>
      <c r="G54">
        <v>117589912</v>
      </c>
      <c r="H54">
        <v>1009</v>
      </c>
      <c r="I54">
        <v>112260134</v>
      </c>
      <c r="J54">
        <v>635</v>
      </c>
      <c r="K54">
        <v>112260150</v>
      </c>
      <c r="L54">
        <v>642</v>
      </c>
      <c r="M54">
        <v>105260150</v>
      </c>
      <c r="N54">
        <v>1623</v>
      </c>
      <c r="O54">
        <v>73806034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37324</v>
      </c>
      <c r="C58">
        <v>5932</v>
      </c>
      <c r="D58">
        <v>5905</v>
      </c>
      <c r="E58">
        <v>2739</v>
      </c>
      <c r="F58">
        <v>1015</v>
      </c>
      <c r="G58">
        <v>967</v>
      </c>
      <c r="H58">
        <v>3892</v>
      </c>
      <c r="I58">
        <v>867</v>
      </c>
      <c r="J58">
        <v>319</v>
      </c>
    </row>
    <row r="59" spans="2:15" x14ac:dyDescent="0.25">
      <c r="B59">
        <v>36707</v>
      </c>
      <c r="C59">
        <v>6437</v>
      </c>
      <c r="D59">
        <v>5903</v>
      </c>
      <c r="E59">
        <v>2678</v>
      </c>
      <c r="F59">
        <v>1023</v>
      </c>
      <c r="G59">
        <v>971</v>
      </c>
      <c r="H59">
        <v>3565</v>
      </c>
      <c r="I59">
        <v>882</v>
      </c>
      <c r="J59">
        <v>294</v>
      </c>
    </row>
    <row r="60" spans="2:15" x14ac:dyDescent="0.25">
      <c r="B60">
        <v>36867</v>
      </c>
      <c r="C60">
        <v>5996</v>
      </c>
      <c r="D60">
        <v>6030</v>
      </c>
      <c r="E60">
        <v>2786</v>
      </c>
      <c r="F60">
        <v>1023</v>
      </c>
      <c r="G60">
        <v>947</v>
      </c>
      <c r="H60">
        <v>3840</v>
      </c>
      <c r="I60">
        <v>869</v>
      </c>
      <c r="J60">
        <v>323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41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AVERAGE(Table47[Newtonsoft (duration)]) - J38</f>
        <v>190784.33333333334</v>
      </c>
      <c r="D38" s="2">
        <f>AVERAGE(Table47[.NET baked full (duration)]) - J38</f>
        <v>35164</v>
      </c>
      <c r="E38" s="2">
        <f>AVERAGE(Table47[.NET baked minimal (duration)]) - J38</f>
        <v>34824.666666666672</v>
      </c>
      <c r="F38" s="2">
        <f>AVERAGE(Table47[Jackson (duration)]) - J39</f>
        <v>9364.3333333333339</v>
      </c>
      <c r="G38" s="2">
        <f>AVERAGE(Table47[JVM baked full (duration)]) - J39</f>
        <v>6123.666666666667</v>
      </c>
      <c r="H38" s="2">
        <f>AVERAGE(Table47[JVM baked minimal (duration)]) - J39</f>
        <v>5991.333333333333</v>
      </c>
      <c r="I38" s="2">
        <f>AVERAGE(Table47[Protobuf.NET (duration)]) - J38</f>
        <v>7820.6666666666661</v>
      </c>
      <c r="J38" s="2">
        <f>AVERAGE(Table48[.NET (instance only)])</f>
        <v>8884.6666666666661</v>
      </c>
      <c r="K38" s="2">
        <f>AVERAGE(Table48[JVM (instance only)])</f>
        <v>2690</v>
      </c>
    </row>
    <row r="39" spans="2:11" x14ac:dyDescent="0.25">
      <c r="B39" t="s">
        <v>3</v>
      </c>
      <c r="C39" s="2">
        <f>C40-C38</f>
        <v>230260.66666666666</v>
      </c>
      <c r="D39" s="2">
        <f t="shared" ref="D39:I39" si="0">D40-D38</f>
        <v>18071.333333333336</v>
      </c>
      <c r="E39" s="2">
        <f t="shared" si="0"/>
        <v>18004.666666666664</v>
      </c>
      <c r="F39" s="2">
        <f t="shared" ref="F39:H39" si="1">F40-F38</f>
        <v>16171.666666666666</v>
      </c>
      <c r="G39" s="2">
        <f t="shared" si="1"/>
        <v>3798.9999999999991</v>
      </c>
      <c r="H39" s="2">
        <f t="shared" si="1"/>
        <v>3429.333333333333</v>
      </c>
      <c r="I39" s="2">
        <f t="shared" si="0"/>
        <v>19896.666666666672</v>
      </c>
      <c r="J39" s="2"/>
      <c r="K39" s="2"/>
    </row>
    <row r="40" spans="2:11" x14ac:dyDescent="0.25">
      <c r="B40" t="s">
        <v>1</v>
      </c>
      <c r="C40" s="2">
        <f>AVERAGE(Table48[Newtonsoft (duration)]) - J38</f>
        <v>421045</v>
      </c>
      <c r="D40" s="2">
        <f>AVERAGE(Table48[.NET baked full (duration)]) - J38</f>
        <v>53235.333333333336</v>
      </c>
      <c r="E40" s="2">
        <f>AVERAGE(Table48[.NET baked minimal (duration)]) - J38</f>
        <v>52829.333333333336</v>
      </c>
      <c r="F40" s="2">
        <f>AVERAGE(Table48[Jackson (duration)]) - J39</f>
        <v>25536</v>
      </c>
      <c r="G40" s="2">
        <f>AVERAGE(Table48[JVM baked full (duration)]) - J39</f>
        <v>9922.6666666666661</v>
      </c>
      <c r="H40" s="2">
        <f>AVERAGE(Table48[JVM baked minimal (duration)]) - J39</f>
        <v>9420.6666666666661</v>
      </c>
      <c r="I40" s="2">
        <f>AVERAGE(Table48[Protobuf.NET (duration)]) - J38</f>
        <v>27717.333333333336</v>
      </c>
      <c r="J40" s="2"/>
      <c r="K40" s="2"/>
    </row>
    <row r="41" spans="2:11" x14ac:dyDescent="0.25">
      <c r="B41" t="s">
        <v>8</v>
      </c>
      <c r="C41" s="3">
        <f>AVERAGE(Table47[Newtonsoft (size)])</f>
        <v>1356316745.3333333</v>
      </c>
      <c r="D41" s="3">
        <f>AVERAGE(Table47[.NET baked full (size)])</f>
        <v>1206153193.3333333</v>
      </c>
      <c r="E41" s="3">
        <f>AVERAGE(Table47[.NET baked minimal (size)])</f>
        <v>1206160423</v>
      </c>
      <c r="F41" s="3">
        <f>AVERAGE(Table47[Jackson (size)])</f>
        <v>1142605274</v>
      </c>
      <c r="G41" s="3">
        <f>AVERAGE(Table47[JVM baked full (size)])</f>
        <v>1142605277</v>
      </c>
      <c r="H41" s="3">
        <f>AVERAGE(Table47[JVM baked minimal (size)])</f>
        <v>1072605277</v>
      </c>
      <c r="I41" s="3">
        <f>AVERAGE(Table47[Protobuf.NET (size)])</f>
        <v>757014162.66666663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DEVSQ(Table47[Newtonsoft (duration)])</f>
        <v>78368</v>
      </c>
      <c r="D46" s="2">
        <f>DEVSQ(Table47[.NET baked full (duration)])</f>
        <v>1141668.6666666667</v>
      </c>
      <c r="E46" s="2">
        <f>DEVSQ(Table47[.NET baked minimal (duration)])</f>
        <v>64194.666666666657</v>
      </c>
      <c r="F46" s="2">
        <f>DEVSQ(Table47[Jackson (duration)])</f>
        <v>10972.666666666666</v>
      </c>
      <c r="G46" s="2">
        <f>DEVSQ(Table47[JVM baked full (duration)])</f>
        <v>1072.6666666666665</v>
      </c>
      <c r="H46" s="2">
        <f>DEVSQ(Table47[JVM baked minimal (duration)])</f>
        <v>7232.6666666666661</v>
      </c>
      <c r="I46" s="2">
        <f>DEVSQ(Table47[Protobuf.NET (duration)])</f>
        <v>274768.66666666669</v>
      </c>
    </row>
    <row r="47" spans="2:11" x14ac:dyDescent="0.25">
      <c r="B47" t="s">
        <v>1</v>
      </c>
      <c r="C47" s="2">
        <f>DEVSQ(Table48[Newtonsoft (duration)])</f>
        <v>8716074.666666666</v>
      </c>
      <c r="D47" s="2">
        <f>DEVSQ(Table48[.NET baked full (duration)])</f>
        <v>1853768</v>
      </c>
      <c r="E47" s="2">
        <f>DEVSQ(Table48[.NET baked minimal (duration)])</f>
        <v>158366</v>
      </c>
      <c r="F47" s="2">
        <f>DEVSQ(Table48[Jackson (duration)])</f>
        <v>107858</v>
      </c>
      <c r="G47" s="2">
        <f>DEVSQ(Table48[JVM baked full (duration)])</f>
        <v>21720.666666666664</v>
      </c>
      <c r="H47" s="2">
        <f>DEVSQ(Table48[JVM baked minimal (duration)])</f>
        <v>65452.666666666672</v>
      </c>
      <c r="I47" s="2">
        <f>DEVSQ(Table48[Protobuf.NET (duration)])</f>
        <v>186506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199849</v>
      </c>
      <c r="C52">
        <v>1356305967</v>
      </c>
      <c r="D52">
        <v>43602</v>
      </c>
      <c r="E52">
        <v>1206153501</v>
      </c>
      <c r="F52">
        <v>43514</v>
      </c>
      <c r="G52">
        <v>1206162533</v>
      </c>
      <c r="H52">
        <v>9447</v>
      </c>
      <c r="I52">
        <v>1142605274</v>
      </c>
      <c r="J52">
        <v>6098</v>
      </c>
      <c r="K52">
        <v>1142605277</v>
      </c>
      <c r="L52">
        <v>5929</v>
      </c>
      <c r="M52">
        <v>1072605277</v>
      </c>
      <c r="N52">
        <v>17133</v>
      </c>
      <c r="O52">
        <v>757009378</v>
      </c>
    </row>
    <row r="53" spans="2:15" x14ac:dyDescent="0.25">
      <c r="B53">
        <v>199457</v>
      </c>
      <c r="C53">
        <v>1356326307</v>
      </c>
      <c r="D53">
        <v>43623</v>
      </c>
      <c r="E53">
        <v>1206151250</v>
      </c>
      <c r="F53">
        <v>43748</v>
      </c>
      <c r="G53">
        <v>1206158523</v>
      </c>
      <c r="H53">
        <v>9304</v>
      </c>
      <c r="I53">
        <v>1142605274</v>
      </c>
      <c r="J53">
        <v>6130</v>
      </c>
      <c r="K53">
        <v>1142605277</v>
      </c>
      <c r="L53">
        <v>5996</v>
      </c>
      <c r="M53">
        <v>1072605277</v>
      </c>
      <c r="N53">
        <v>16477</v>
      </c>
      <c r="O53">
        <v>757028546</v>
      </c>
    </row>
    <row r="54" spans="2:15" x14ac:dyDescent="0.25">
      <c r="B54">
        <v>199701</v>
      </c>
      <c r="C54">
        <v>1356317962</v>
      </c>
      <c r="D54">
        <v>44921</v>
      </c>
      <c r="E54">
        <v>1206154829</v>
      </c>
      <c r="F54">
        <v>43866</v>
      </c>
      <c r="G54">
        <v>1206160213</v>
      </c>
      <c r="H54">
        <v>9342</v>
      </c>
      <c r="I54">
        <v>1142605274</v>
      </c>
      <c r="J54">
        <v>6143</v>
      </c>
      <c r="K54">
        <v>1142605277</v>
      </c>
      <c r="L54">
        <v>6049</v>
      </c>
      <c r="M54">
        <v>1072605277</v>
      </c>
      <c r="N54">
        <v>16506</v>
      </c>
      <c r="O54">
        <v>757004564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431943</v>
      </c>
      <c r="C58">
        <v>61512</v>
      </c>
      <c r="D58">
        <v>61927</v>
      </c>
      <c r="E58">
        <v>25271</v>
      </c>
      <c r="F58">
        <v>10043</v>
      </c>
      <c r="G58">
        <v>9461</v>
      </c>
      <c r="H58">
        <v>36279</v>
      </c>
      <c r="I58">
        <v>9009</v>
      </c>
      <c r="J58">
        <v>2567</v>
      </c>
    </row>
    <row r="59" spans="2:15" x14ac:dyDescent="0.25">
      <c r="B59">
        <v>427775</v>
      </c>
      <c r="C59">
        <v>61618</v>
      </c>
      <c r="D59">
        <v>61395</v>
      </c>
      <c r="E59">
        <v>25704</v>
      </c>
      <c r="F59">
        <v>9862</v>
      </c>
      <c r="G59">
        <v>9578</v>
      </c>
      <c r="H59">
        <v>36886</v>
      </c>
      <c r="I59">
        <v>8834</v>
      </c>
      <c r="J59">
        <v>2838</v>
      </c>
    </row>
    <row r="60" spans="2:15" x14ac:dyDescent="0.25">
      <c r="B60">
        <v>430071</v>
      </c>
      <c r="C60">
        <v>63230</v>
      </c>
      <c r="D60">
        <v>61820</v>
      </c>
      <c r="E60">
        <v>25633</v>
      </c>
      <c r="F60">
        <v>9863</v>
      </c>
      <c r="G60">
        <v>9223</v>
      </c>
      <c r="H60">
        <v>36641</v>
      </c>
      <c r="I60">
        <v>8811</v>
      </c>
      <c r="J60">
        <v>2665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42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AVERAGE(Table51[Newtonsoft (duration)]) - J38</f>
        <v>107</v>
      </c>
      <c r="D38" s="2">
        <f>AVERAGE(Table51[.NET baked full (duration)]) - J38</f>
        <v>30</v>
      </c>
      <c r="E38" s="2">
        <f>AVERAGE(Table51[.NET baked minimal (duration)]) - J38</f>
        <v>28.333333333333332</v>
      </c>
      <c r="F38" s="2">
        <f>AVERAGE(Table51[Jackson (duration)]) - J39</f>
        <v>166.33333333333334</v>
      </c>
      <c r="G38" s="2">
        <f>AVERAGE(Table51[JVM baked full (duration)]) - J39</f>
        <v>75</v>
      </c>
      <c r="H38" s="2">
        <f>AVERAGE(Table51[JVM baked minimal (duration)]) - J39</f>
        <v>71.666666666666671</v>
      </c>
      <c r="I38" s="2">
        <f>AVERAGE(Table51[Protobuf.NET (duration)]) - J38</f>
        <v>37</v>
      </c>
      <c r="J38" s="2">
        <f>AVERAGE(Table52[.NET (instance only)])</f>
        <v>1</v>
      </c>
      <c r="K38" s="2">
        <f>AVERAGE(Table52[JVM (instance only)])</f>
        <v>23.333333333333332</v>
      </c>
    </row>
    <row r="39" spans="2:11" x14ac:dyDescent="0.25">
      <c r="B39" t="s">
        <v>3</v>
      </c>
      <c r="C39" s="2">
        <f>C40-C38</f>
        <v>102.66666666666666</v>
      </c>
      <c r="D39" s="2">
        <f t="shared" ref="D39:I39" si="0">D40-D38</f>
        <v>84</v>
      </c>
      <c r="E39" s="2">
        <f t="shared" si="0"/>
        <v>86</v>
      </c>
      <c r="F39" s="2">
        <f t="shared" ref="F39:H39" si="1">F40-F38</f>
        <v>197.66666666666666</v>
      </c>
      <c r="G39" s="2">
        <f t="shared" si="1"/>
        <v>52.666666666666671</v>
      </c>
      <c r="H39" s="2">
        <f t="shared" si="1"/>
        <v>54</v>
      </c>
      <c r="I39" s="2">
        <f t="shared" si="0"/>
        <v>17.666666666666664</v>
      </c>
      <c r="J39" s="2"/>
      <c r="K39" s="2"/>
    </row>
    <row r="40" spans="2:11" x14ac:dyDescent="0.25">
      <c r="B40" t="s">
        <v>1</v>
      </c>
      <c r="C40" s="2">
        <f>AVERAGE(Table52[Newtonsoft (duration)]) - J38</f>
        <v>209.66666666666666</v>
      </c>
      <c r="D40" s="2">
        <f>AVERAGE(Table52[.NET baked full (duration)]) - J38</f>
        <v>114</v>
      </c>
      <c r="E40" s="2">
        <f>AVERAGE(Table52[.NET baked minimal (duration)]) - J38</f>
        <v>114.33333333333333</v>
      </c>
      <c r="F40" s="2">
        <f>AVERAGE(Table52[Jackson (duration)]) - J39</f>
        <v>364</v>
      </c>
      <c r="G40" s="2">
        <f>AVERAGE(Table52[JVM baked full (duration)]) - J39</f>
        <v>127.66666666666667</v>
      </c>
      <c r="H40" s="2">
        <f>AVERAGE(Table52[JVM baked minimal (duration)]) - J39</f>
        <v>125.66666666666667</v>
      </c>
      <c r="I40" s="2">
        <f>AVERAGE(Table52[Protobuf.NET (duration)]) - J38</f>
        <v>54.666666666666664</v>
      </c>
      <c r="J40" s="2"/>
      <c r="K40" s="2"/>
    </row>
    <row r="41" spans="2:11" x14ac:dyDescent="0.25">
      <c r="B41" t="s">
        <v>8</v>
      </c>
      <c r="C41" s="3">
        <f>AVERAGE(Table51[Newtonsoft (size)])</f>
        <v>1630586</v>
      </c>
      <c r="D41" s="3">
        <f>AVERAGE(Table51[.NET baked full (size)])</f>
        <v>2025118</v>
      </c>
      <c r="E41" s="3">
        <f>AVERAGE(Table51[.NET baked minimal (size)])</f>
        <v>1655917</v>
      </c>
      <c r="F41" s="3">
        <f>AVERAGE(Table51[Jackson (size)])</f>
        <v>1617328</v>
      </c>
      <c r="G41" s="3">
        <f>AVERAGE(Table51[JVM baked full (size)])</f>
        <v>1985118</v>
      </c>
      <c r="H41" s="3">
        <f>AVERAGE(Table51[JVM baked minimal (size)])</f>
        <v>1615917</v>
      </c>
      <c r="I41" s="3">
        <f>AVERAGE(Table51[Protobuf.NET (size)])</f>
        <v>637332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DEVSQ(Table51[Newtonsoft (duration)])</f>
        <v>0</v>
      </c>
      <c r="D46" s="2">
        <f>DEVSQ(Table51[.NET baked full (duration)])</f>
        <v>0</v>
      </c>
      <c r="E46" s="2">
        <f>DEVSQ(Table51[.NET baked minimal (duration)])</f>
        <v>0.66666666666666674</v>
      </c>
      <c r="F46" s="2">
        <f>DEVSQ(Table51[Jackson (duration)])</f>
        <v>4.6666666666666661</v>
      </c>
      <c r="G46" s="2">
        <f>DEVSQ(Table51[JVM baked full (duration)])</f>
        <v>2</v>
      </c>
      <c r="H46" s="2">
        <f>DEVSQ(Table51[JVM baked minimal (duration)])</f>
        <v>0.66666666666666663</v>
      </c>
      <c r="I46" s="2">
        <f>DEVSQ(Table51[Protobuf.NET (duration)])</f>
        <v>0</v>
      </c>
    </row>
    <row r="47" spans="2:11" x14ac:dyDescent="0.25">
      <c r="B47" t="s">
        <v>1</v>
      </c>
      <c r="C47" s="2">
        <f>DEVSQ(Table52[Newtonsoft (duration)])</f>
        <v>60.666666666666657</v>
      </c>
      <c r="D47" s="2">
        <f>DEVSQ(Table52[.NET baked full (duration)])</f>
        <v>2</v>
      </c>
      <c r="E47" s="2">
        <f>DEVSQ(Table52[.NET baked minimal (duration)])</f>
        <v>284.66666666666669</v>
      </c>
      <c r="F47" s="2">
        <f>DEVSQ(Table52[Jackson (duration)])</f>
        <v>24</v>
      </c>
      <c r="G47" s="2">
        <f>DEVSQ(Table52[JVM baked full (duration)])</f>
        <v>2.666666666666667</v>
      </c>
      <c r="H47" s="2">
        <f>DEVSQ(Table52[JVM baked minimal (duration)])</f>
        <v>0.66666666666666663</v>
      </c>
      <c r="I47" s="2">
        <f>DEVSQ(Table52[Protobuf.NET (duration)])</f>
        <v>2.666666666666667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108</v>
      </c>
      <c r="C52">
        <v>1630586</v>
      </c>
      <c r="D52">
        <v>31</v>
      </c>
      <c r="E52">
        <v>2025118</v>
      </c>
      <c r="F52">
        <v>29</v>
      </c>
      <c r="G52">
        <v>1655917</v>
      </c>
      <c r="H52">
        <v>166</v>
      </c>
      <c r="I52">
        <v>1617328</v>
      </c>
      <c r="J52">
        <v>74</v>
      </c>
      <c r="K52">
        <v>1985118</v>
      </c>
      <c r="L52">
        <v>71</v>
      </c>
      <c r="M52">
        <v>1615917</v>
      </c>
      <c r="N52">
        <v>38</v>
      </c>
      <c r="O52">
        <v>637332</v>
      </c>
    </row>
    <row r="53" spans="2:15" x14ac:dyDescent="0.25">
      <c r="B53">
        <v>108</v>
      </c>
      <c r="C53">
        <v>1630586</v>
      </c>
      <c r="D53">
        <v>31</v>
      </c>
      <c r="E53">
        <v>2025118</v>
      </c>
      <c r="F53">
        <v>30</v>
      </c>
      <c r="G53">
        <v>1655917</v>
      </c>
      <c r="H53">
        <v>165</v>
      </c>
      <c r="I53">
        <v>1617328</v>
      </c>
      <c r="J53">
        <v>75</v>
      </c>
      <c r="K53">
        <v>1985118</v>
      </c>
      <c r="L53">
        <v>72</v>
      </c>
      <c r="M53">
        <v>1615917</v>
      </c>
      <c r="N53">
        <v>38</v>
      </c>
      <c r="O53">
        <v>637332</v>
      </c>
    </row>
    <row r="54" spans="2:15" x14ac:dyDescent="0.25">
      <c r="B54">
        <v>108</v>
      </c>
      <c r="C54">
        <v>1630586</v>
      </c>
      <c r="D54">
        <v>31</v>
      </c>
      <c r="E54">
        <v>2025118</v>
      </c>
      <c r="F54">
        <v>29</v>
      </c>
      <c r="G54">
        <v>1655917</v>
      </c>
      <c r="H54">
        <v>168</v>
      </c>
      <c r="I54">
        <v>1617328</v>
      </c>
      <c r="J54">
        <v>76</v>
      </c>
      <c r="K54">
        <v>1985118</v>
      </c>
      <c r="L54">
        <v>72</v>
      </c>
      <c r="M54">
        <v>1615917</v>
      </c>
      <c r="N54">
        <v>38</v>
      </c>
      <c r="O54">
        <v>637332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216</v>
      </c>
      <c r="C58">
        <v>116</v>
      </c>
      <c r="D58">
        <v>110</v>
      </c>
      <c r="E58">
        <v>362</v>
      </c>
      <c r="F58">
        <v>127</v>
      </c>
      <c r="G58">
        <v>125</v>
      </c>
      <c r="H58">
        <v>55</v>
      </c>
      <c r="I58">
        <v>1</v>
      </c>
      <c r="J58">
        <v>24</v>
      </c>
    </row>
    <row r="59" spans="2:15" x14ac:dyDescent="0.25">
      <c r="B59">
        <v>205</v>
      </c>
      <c r="C59">
        <v>115</v>
      </c>
      <c r="D59">
        <v>129</v>
      </c>
      <c r="E59">
        <v>362</v>
      </c>
      <c r="F59">
        <v>129</v>
      </c>
      <c r="G59">
        <v>126</v>
      </c>
      <c r="H59">
        <v>55</v>
      </c>
      <c r="I59">
        <v>1</v>
      </c>
      <c r="J59">
        <v>23</v>
      </c>
    </row>
    <row r="60" spans="2:15" x14ac:dyDescent="0.25">
      <c r="B60">
        <v>211</v>
      </c>
      <c r="C60">
        <v>114</v>
      </c>
      <c r="D60">
        <v>107</v>
      </c>
      <c r="E60">
        <v>368</v>
      </c>
      <c r="F60">
        <v>127</v>
      </c>
      <c r="G60">
        <v>126</v>
      </c>
      <c r="H60">
        <v>57</v>
      </c>
      <c r="I60">
        <v>1</v>
      </c>
      <c r="J60">
        <v>23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43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AVERAGE(Table55[Newtonsoft (duration)]) - J38</f>
        <v>554.66666666666663</v>
      </c>
      <c r="D38" s="2">
        <f>AVERAGE(Table55[.NET baked full (duration)]) - J38</f>
        <v>271</v>
      </c>
      <c r="E38" s="2">
        <f>AVERAGE(Table55[.NET baked minimal (duration)]) - J38</f>
        <v>249.33333333333331</v>
      </c>
      <c r="F38" s="2">
        <f>AVERAGE(Table55[Jackson (duration)]) - J39</f>
        <v>369</v>
      </c>
      <c r="G38" s="2">
        <f>AVERAGE(Table55[JVM baked full (duration)]) - J39</f>
        <v>264</v>
      </c>
      <c r="H38" s="2">
        <f>AVERAGE(Table55[JVM baked minimal (duration)]) - J39</f>
        <v>246.33333333333334</v>
      </c>
      <c r="I38" s="2">
        <f>AVERAGE(Table55[Protobuf.NET (duration)]) - J38</f>
        <v>109.66666666666667</v>
      </c>
      <c r="J38" s="2">
        <f>AVERAGE(Table56[.NET (instance only)])</f>
        <v>13</v>
      </c>
      <c r="K38" s="2">
        <f>AVERAGE(Table56[JVM (instance only)])</f>
        <v>56.333333333333336</v>
      </c>
    </row>
    <row r="39" spans="2:11" x14ac:dyDescent="0.25">
      <c r="B39" t="s">
        <v>3</v>
      </c>
      <c r="C39" s="2">
        <f>C40-C38</f>
        <v>840.00000000000011</v>
      </c>
      <c r="D39" s="2">
        <f t="shared" ref="D39:I39" si="0">D40-D38</f>
        <v>758.33333333333326</v>
      </c>
      <c r="E39" s="2">
        <f t="shared" si="0"/>
        <v>786</v>
      </c>
      <c r="F39" s="2">
        <f t="shared" ref="F39:H39" si="1">F40-F38</f>
        <v>518.33333333333337</v>
      </c>
      <c r="G39" s="2">
        <f t="shared" si="1"/>
        <v>271</v>
      </c>
      <c r="H39" s="2">
        <f t="shared" si="1"/>
        <v>304.33333333333326</v>
      </c>
      <c r="I39" s="2">
        <f t="shared" si="0"/>
        <v>134.33333333333331</v>
      </c>
      <c r="J39" s="2"/>
      <c r="K39" s="2"/>
    </row>
    <row r="40" spans="2:11" x14ac:dyDescent="0.25">
      <c r="B40" t="s">
        <v>1</v>
      </c>
      <c r="C40" s="2">
        <f>AVERAGE(Table56[Newtonsoft (duration)]) - J38</f>
        <v>1394.6666666666667</v>
      </c>
      <c r="D40" s="2">
        <f>AVERAGE(Table56[.NET baked full (duration)]) - J38</f>
        <v>1029.3333333333333</v>
      </c>
      <c r="E40" s="2">
        <f>AVERAGE(Table56[.NET baked minimal (duration)]) - J38</f>
        <v>1035.3333333333333</v>
      </c>
      <c r="F40" s="2">
        <f>AVERAGE(Table56[Jackson (duration)]) - J39</f>
        <v>887.33333333333337</v>
      </c>
      <c r="G40" s="2">
        <f>AVERAGE(Table56[JVM baked full (duration)]) - J39</f>
        <v>535</v>
      </c>
      <c r="H40" s="2">
        <f>AVERAGE(Table56[JVM baked minimal (duration)]) - J39</f>
        <v>550.66666666666663</v>
      </c>
      <c r="I40" s="2">
        <f>AVERAGE(Table56[Protobuf.NET (duration)]) - J38</f>
        <v>244</v>
      </c>
      <c r="J40" s="2"/>
      <c r="K40" s="2"/>
    </row>
    <row r="41" spans="2:11" x14ac:dyDescent="0.25">
      <c r="B41" t="s">
        <v>8</v>
      </c>
      <c r="C41" s="3">
        <f>AVERAGE(Table55[Newtonsoft (size)])</f>
        <v>17186511.666666668</v>
      </c>
      <c r="D41" s="3">
        <f>AVERAGE(Table55[.NET baked full (size)])</f>
        <v>21085998.333333332</v>
      </c>
      <c r="E41" s="3">
        <f>AVERAGE(Table55[.NET baked minimal (size)])</f>
        <v>17473176</v>
      </c>
      <c r="F41" s="3">
        <f>AVERAGE(Table55[Jackson (size)])</f>
        <v>17074587</v>
      </c>
      <c r="G41" s="3">
        <f>AVERAGE(Table55[JVM baked full (size)])</f>
        <v>20752665</v>
      </c>
      <c r="H41" s="3">
        <f>AVERAGE(Table55[JVM baked minimal (size)])</f>
        <v>17073176</v>
      </c>
      <c r="I41" s="3">
        <f>AVERAGE(Table55[Protobuf.NET (size)])</f>
        <v>6839717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DEVSQ(Table55[Newtonsoft (duration)])</f>
        <v>80.666666666666657</v>
      </c>
      <c r="D46" s="2">
        <f>DEVSQ(Table55[.NET baked full (duration)])</f>
        <v>78</v>
      </c>
      <c r="E46" s="2">
        <f>DEVSQ(Table55[.NET baked minimal (duration)])</f>
        <v>18.666666666666664</v>
      </c>
      <c r="F46" s="2">
        <f>DEVSQ(Table55[Jackson (duration)])</f>
        <v>8</v>
      </c>
      <c r="G46" s="2">
        <f>DEVSQ(Table55[JVM baked full (duration)])</f>
        <v>32</v>
      </c>
      <c r="H46" s="2">
        <f>DEVSQ(Table55[JVM baked minimal (duration)])</f>
        <v>8.6666666666666679</v>
      </c>
      <c r="I46" s="2">
        <f>DEVSQ(Table55[Protobuf.NET (duration)])</f>
        <v>0.66666666666666663</v>
      </c>
    </row>
    <row r="47" spans="2:11" x14ac:dyDescent="0.25">
      <c r="B47" t="s">
        <v>1</v>
      </c>
      <c r="C47" s="2">
        <f>DEVSQ(Table56[Newtonsoft (duration)])</f>
        <v>3000.6666666666665</v>
      </c>
      <c r="D47" s="2">
        <f>DEVSQ(Table56[.NET baked full (duration)])</f>
        <v>10.666666666666668</v>
      </c>
      <c r="E47" s="2">
        <f>DEVSQ(Table56[.NET baked minimal (duration)])</f>
        <v>30128.666666666668</v>
      </c>
      <c r="F47" s="2">
        <f>DEVSQ(Table56[Jackson (duration)])</f>
        <v>352.66666666666669</v>
      </c>
      <c r="G47" s="2">
        <f>DEVSQ(Table56[JVM baked full (duration)])</f>
        <v>3002</v>
      </c>
      <c r="H47" s="2">
        <f>DEVSQ(Table56[JVM baked minimal (duration)])</f>
        <v>220.66666666666669</v>
      </c>
      <c r="I47" s="2">
        <f>DEVSQ(Table56[Protobuf.NET (duration)])</f>
        <v>14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564</v>
      </c>
      <c r="C52">
        <v>17219845</v>
      </c>
      <c r="D52">
        <v>289</v>
      </c>
      <c r="E52">
        <v>21152665</v>
      </c>
      <c r="F52">
        <v>265</v>
      </c>
      <c r="G52">
        <v>17473176</v>
      </c>
      <c r="H52">
        <v>369</v>
      </c>
      <c r="I52">
        <v>17074587</v>
      </c>
      <c r="J52">
        <v>260</v>
      </c>
      <c r="K52">
        <v>20752665</v>
      </c>
      <c r="L52">
        <v>244</v>
      </c>
      <c r="M52">
        <v>17073176</v>
      </c>
      <c r="N52">
        <v>122</v>
      </c>
      <c r="O52">
        <v>6839717</v>
      </c>
    </row>
    <row r="53" spans="2:15" x14ac:dyDescent="0.25">
      <c r="B53">
        <v>564</v>
      </c>
      <c r="C53">
        <v>17219845</v>
      </c>
      <c r="D53">
        <v>277</v>
      </c>
      <c r="E53">
        <v>20952665</v>
      </c>
      <c r="F53">
        <v>263</v>
      </c>
      <c r="G53">
        <v>17473176</v>
      </c>
      <c r="H53">
        <v>371</v>
      </c>
      <c r="I53">
        <v>17074587</v>
      </c>
      <c r="J53">
        <v>264</v>
      </c>
      <c r="K53">
        <v>20752665</v>
      </c>
      <c r="L53">
        <v>247</v>
      </c>
      <c r="M53">
        <v>17073176</v>
      </c>
      <c r="N53">
        <v>123</v>
      </c>
      <c r="O53">
        <v>6839717</v>
      </c>
    </row>
    <row r="54" spans="2:15" x14ac:dyDescent="0.25">
      <c r="B54">
        <v>575</v>
      </c>
      <c r="C54">
        <v>17119845</v>
      </c>
      <c r="D54">
        <v>286</v>
      </c>
      <c r="E54">
        <v>21152665</v>
      </c>
      <c r="F54">
        <v>259</v>
      </c>
      <c r="G54">
        <v>17473176</v>
      </c>
      <c r="H54">
        <v>367</v>
      </c>
      <c r="I54">
        <v>17074587</v>
      </c>
      <c r="J54">
        <v>268</v>
      </c>
      <c r="K54">
        <v>20752665</v>
      </c>
      <c r="L54">
        <v>248</v>
      </c>
      <c r="M54">
        <v>17073176</v>
      </c>
      <c r="N54">
        <v>123</v>
      </c>
      <c r="O54">
        <v>6839717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1450</v>
      </c>
      <c r="C58">
        <v>1041</v>
      </c>
      <c r="D58">
        <v>1190</v>
      </c>
      <c r="E58">
        <v>895</v>
      </c>
      <c r="F58">
        <v>579</v>
      </c>
      <c r="G58">
        <v>540</v>
      </c>
      <c r="H58">
        <v>258</v>
      </c>
      <c r="I58">
        <v>13</v>
      </c>
      <c r="J58">
        <v>55</v>
      </c>
    </row>
    <row r="59" spans="2:15" x14ac:dyDescent="0.25">
      <c r="B59">
        <v>1374</v>
      </c>
      <c r="C59">
        <v>1041</v>
      </c>
      <c r="D59">
        <v>974</v>
      </c>
      <c r="E59">
        <v>872</v>
      </c>
      <c r="F59">
        <v>506</v>
      </c>
      <c r="G59">
        <v>561</v>
      </c>
      <c r="H59">
        <v>254</v>
      </c>
      <c r="I59">
        <v>13</v>
      </c>
      <c r="J59">
        <v>55</v>
      </c>
    </row>
    <row r="60" spans="2:15" x14ac:dyDescent="0.25">
      <c r="B60">
        <v>1399</v>
      </c>
      <c r="C60">
        <v>1045</v>
      </c>
      <c r="D60">
        <v>981</v>
      </c>
      <c r="E60">
        <v>895</v>
      </c>
      <c r="F60">
        <v>520</v>
      </c>
      <c r="G60">
        <v>551</v>
      </c>
      <c r="H60">
        <v>259</v>
      </c>
      <c r="I60">
        <v>13</v>
      </c>
      <c r="J60">
        <v>59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44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AVERAGE(Table59[Newtonsoft (duration)]) - J38</f>
        <v>5191</v>
      </c>
      <c r="D38" s="2">
        <f>AVERAGE(Table59[.NET baked full (duration)]) - J38</f>
        <v>2664.6666666666665</v>
      </c>
      <c r="E38" s="2">
        <f>AVERAGE(Table59[.NET baked minimal (duration)]) - J38</f>
        <v>2529</v>
      </c>
      <c r="F38" s="2">
        <f>AVERAGE(Table59[Jackson (duration)]) - J39</f>
        <v>1459.3333333333333</v>
      </c>
      <c r="G38" s="2">
        <f>AVERAGE(Table59[JVM baked full (duration)]) - J39</f>
        <v>1384.3333333333333</v>
      </c>
      <c r="H38" s="2">
        <f>AVERAGE(Table59[JVM baked minimal (duration)]) - J39</f>
        <v>1286.3333333333333</v>
      </c>
      <c r="I38" s="2">
        <f>AVERAGE(Table59[Protobuf.NET (duration)]) - J38</f>
        <v>844.33333333333337</v>
      </c>
      <c r="J38" s="2">
        <f>AVERAGE(Table60[.NET (instance only)])</f>
        <v>130</v>
      </c>
      <c r="K38" s="2">
        <f>AVERAGE(Table60[JVM (instance only)])</f>
        <v>228.33333333333334</v>
      </c>
    </row>
    <row r="39" spans="2:11" x14ac:dyDescent="0.25">
      <c r="B39" t="s">
        <v>3</v>
      </c>
      <c r="C39" s="2">
        <f>C40-C38</f>
        <v>9097</v>
      </c>
      <c r="D39" s="2">
        <f t="shared" ref="D39:I39" si="0">D40-D38</f>
        <v>8052</v>
      </c>
      <c r="E39" s="2">
        <f t="shared" si="0"/>
        <v>7219</v>
      </c>
      <c r="F39" s="2">
        <f t="shared" ref="F39:H39" si="1">F40-F38</f>
        <v>3033.3333333333339</v>
      </c>
      <c r="G39" s="2">
        <f t="shared" si="1"/>
        <v>1152.6666666666667</v>
      </c>
      <c r="H39" s="2">
        <f t="shared" si="1"/>
        <v>1159.6666666666667</v>
      </c>
      <c r="I39" s="2">
        <f t="shared" si="0"/>
        <v>1337.333333333333</v>
      </c>
      <c r="J39" s="2"/>
      <c r="K39" s="2"/>
    </row>
    <row r="40" spans="2:11" x14ac:dyDescent="0.25">
      <c r="B40" t="s">
        <v>1</v>
      </c>
      <c r="C40" s="2">
        <f>AVERAGE(Table60[Newtonsoft (duration)]) - J38</f>
        <v>14288</v>
      </c>
      <c r="D40" s="2">
        <f>AVERAGE(Table60[.NET baked full (duration)]) - J38</f>
        <v>10716.666666666666</v>
      </c>
      <c r="E40" s="2">
        <f>AVERAGE(Table60[.NET baked minimal (duration)]) - J38</f>
        <v>9748</v>
      </c>
      <c r="F40" s="2">
        <f>AVERAGE(Table60[Jackson (duration)]) - J39</f>
        <v>4492.666666666667</v>
      </c>
      <c r="G40" s="2">
        <f>AVERAGE(Table60[JVM baked full (duration)]) - J39</f>
        <v>2537</v>
      </c>
      <c r="H40" s="2">
        <f>AVERAGE(Table60[JVM baked minimal (duration)]) - J39</f>
        <v>2446</v>
      </c>
      <c r="I40" s="2">
        <f>AVERAGE(Table60[Protobuf.NET (duration)]) - J38</f>
        <v>2181.6666666666665</v>
      </c>
      <c r="J40" s="2"/>
      <c r="K40" s="2"/>
    </row>
    <row r="41" spans="2:11" x14ac:dyDescent="0.25">
      <c r="B41" t="s">
        <v>8</v>
      </c>
      <c r="C41" s="3">
        <f>AVERAGE(Table59[Newtonsoft (size)])</f>
        <v>181274558</v>
      </c>
      <c r="D41" s="3">
        <f>AVERAGE(Table59[.NET baked full (size)])</f>
        <v>219923559.33333334</v>
      </c>
      <c r="E41" s="3">
        <f>AVERAGE(Table59[.NET baked minimal (size)])</f>
        <v>183807889</v>
      </c>
      <c r="F41" s="3">
        <f>AVERAGE(Table59[Jackson (size)])</f>
        <v>179809300</v>
      </c>
      <c r="G41" s="3">
        <f>AVERAGE(Table59[JVM baked full (size)])</f>
        <v>216590226</v>
      </c>
      <c r="H41" s="3">
        <f>AVERAGE(Table59[JVM baked minimal (size)])</f>
        <v>179807889</v>
      </c>
      <c r="I41" s="3">
        <f>AVERAGE(Table59[Protobuf.NET (size)])</f>
        <v>72578052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DEVSQ(Table59[Newtonsoft (duration)])</f>
        <v>1262</v>
      </c>
      <c r="D46" s="2">
        <f>DEVSQ(Table59[.NET baked full (duration)])</f>
        <v>788.66666666666663</v>
      </c>
      <c r="E46" s="2">
        <f>DEVSQ(Table59[.NET baked minimal (duration)])</f>
        <v>6014</v>
      </c>
      <c r="F46" s="2">
        <f>DEVSQ(Table59[Jackson (duration)])</f>
        <v>788.66666666666674</v>
      </c>
      <c r="G46" s="2">
        <f>DEVSQ(Table59[JVM baked full (duration)])</f>
        <v>34.666666666666664</v>
      </c>
      <c r="H46" s="2">
        <f>DEVSQ(Table59[JVM baked minimal (duration)])</f>
        <v>572.66666666666674</v>
      </c>
      <c r="I46" s="2">
        <f>DEVSQ(Table59[Protobuf.NET (duration)])</f>
        <v>2.666666666666667</v>
      </c>
    </row>
    <row r="47" spans="2:11" x14ac:dyDescent="0.25">
      <c r="B47" t="s">
        <v>1</v>
      </c>
      <c r="C47" s="2">
        <f>DEVSQ(Table60[Newtonsoft (duration)])</f>
        <v>1486394</v>
      </c>
      <c r="D47" s="2">
        <f>DEVSQ(Table60[.NET baked full (duration)])</f>
        <v>149716.66666666669</v>
      </c>
      <c r="E47" s="2">
        <f>DEVSQ(Table60[.NET baked minimal (duration)])</f>
        <v>7406</v>
      </c>
      <c r="F47" s="2">
        <f>DEVSQ(Table60[Jackson (duration)])</f>
        <v>2244.6666666666665</v>
      </c>
      <c r="G47" s="2">
        <f>DEVSQ(Table60[JVM baked full (duration)])</f>
        <v>9158</v>
      </c>
      <c r="H47" s="2">
        <f>DEVSQ(Table60[JVM baked minimal (duration)])</f>
        <v>4382</v>
      </c>
      <c r="I47" s="2">
        <f>DEVSQ(Table60[Protobuf.NET (duration)])</f>
        <v>9132.6666666666679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5350</v>
      </c>
      <c r="C52">
        <v>181274558</v>
      </c>
      <c r="D52">
        <v>2788</v>
      </c>
      <c r="E52">
        <v>220590226</v>
      </c>
      <c r="F52">
        <v>2608</v>
      </c>
      <c r="G52">
        <v>183807889</v>
      </c>
      <c r="H52">
        <v>1455</v>
      </c>
      <c r="I52">
        <v>179809300</v>
      </c>
      <c r="J52">
        <v>1389</v>
      </c>
      <c r="K52">
        <v>216590226</v>
      </c>
      <c r="L52">
        <v>1305</v>
      </c>
      <c r="M52">
        <v>179807889</v>
      </c>
      <c r="N52">
        <v>973</v>
      </c>
      <c r="O52">
        <v>72578052</v>
      </c>
    </row>
    <row r="53" spans="2:15" x14ac:dyDescent="0.25">
      <c r="B53">
        <v>5307</v>
      </c>
      <c r="C53">
        <v>181274558</v>
      </c>
      <c r="D53">
        <v>2779</v>
      </c>
      <c r="E53">
        <v>218590226</v>
      </c>
      <c r="F53">
        <v>2717</v>
      </c>
      <c r="G53">
        <v>183807889</v>
      </c>
      <c r="H53">
        <v>1442</v>
      </c>
      <c r="I53">
        <v>179809300</v>
      </c>
      <c r="J53">
        <v>1381</v>
      </c>
      <c r="K53">
        <v>216590226</v>
      </c>
      <c r="L53">
        <v>1282</v>
      </c>
      <c r="M53">
        <v>179807889</v>
      </c>
      <c r="N53">
        <v>975</v>
      </c>
      <c r="O53">
        <v>72578052</v>
      </c>
    </row>
    <row r="54" spans="2:15" x14ac:dyDescent="0.25">
      <c r="B54">
        <v>5306</v>
      </c>
      <c r="C54">
        <v>181274558</v>
      </c>
      <c r="D54">
        <v>2817</v>
      </c>
      <c r="E54">
        <v>220590226</v>
      </c>
      <c r="F54">
        <v>2652</v>
      </c>
      <c r="G54">
        <v>183807889</v>
      </c>
      <c r="H54">
        <v>1481</v>
      </c>
      <c r="I54">
        <v>179809300</v>
      </c>
      <c r="J54">
        <v>1383</v>
      </c>
      <c r="K54">
        <v>216590226</v>
      </c>
      <c r="L54">
        <v>1272</v>
      </c>
      <c r="M54">
        <v>179807889</v>
      </c>
      <c r="N54">
        <v>975</v>
      </c>
      <c r="O54">
        <v>72578052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14975</v>
      </c>
      <c r="C58">
        <v>11160</v>
      </c>
      <c r="D58">
        <v>9947</v>
      </c>
      <c r="E58">
        <v>4459</v>
      </c>
      <c r="F58">
        <v>2510</v>
      </c>
      <c r="G58">
        <v>2405</v>
      </c>
      <c r="H58">
        <v>2389</v>
      </c>
      <c r="I58">
        <v>129</v>
      </c>
      <c r="J58">
        <v>236</v>
      </c>
    </row>
    <row r="59" spans="2:15" x14ac:dyDescent="0.25">
      <c r="B59">
        <v>13425</v>
      </c>
      <c r="C59">
        <v>10725</v>
      </c>
      <c r="D59">
        <v>9855</v>
      </c>
      <c r="E59">
        <v>4493</v>
      </c>
      <c r="F59">
        <v>2487</v>
      </c>
      <c r="G59">
        <v>2436</v>
      </c>
      <c r="H59">
        <v>2264</v>
      </c>
      <c r="I59">
        <v>128</v>
      </c>
      <c r="J59">
        <v>234</v>
      </c>
    </row>
    <row r="60" spans="2:15" x14ac:dyDescent="0.25">
      <c r="B60">
        <v>14854</v>
      </c>
      <c r="C60">
        <v>10655</v>
      </c>
      <c r="D60">
        <v>9832</v>
      </c>
      <c r="E60">
        <v>4526</v>
      </c>
      <c r="F60">
        <v>2614</v>
      </c>
      <c r="G60">
        <v>2497</v>
      </c>
      <c r="H60">
        <v>2282</v>
      </c>
      <c r="I60">
        <v>133</v>
      </c>
      <c r="J60">
        <v>215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45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AVERAGE(Table63[Newtonsoft (duration)]) - J38</f>
        <v>9824.6666666666679</v>
      </c>
      <c r="D38" s="2">
        <f>AVERAGE(Table63[.NET baked full (duration)]) - J38</f>
        <v>2008.9999999999998</v>
      </c>
      <c r="E38" s="2">
        <f>AVERAGE(Table63[.NET baked minimal (duration)]) - J38</f>
        <v>1978.3333333333333</v>
      </c>
      <c r="F38" s="2">
        <f>AVERAGE(Table63[Jackson (duration)]) - J39</f>
        <v>826.66666666666663</v>
      </c>
      <c r="G38" s="2">
        <f>AVERAGE(Table63[JVM baked full (duration)]) - J39</f>
        <v>580</v>
      </c>
      <c r="H38" s="2">
        <f>AVERAGE(Table63[JVM baked minimal (duration)]) - J39</f>
        <v>560.66666666666663</v>
      </c>
      <c r="I38" s="2">
        <f>AVERAGE(Table63[Protobuf.NET (duration)]) - J38</f>
        <v>370.66666666666669</v>
      </c>
      <c r="J38" s="2">
        <f>AVERAGE(Table64[.NET (instance only)])</f>
        <v>440.66666666666669</v>
      </c>
      <c r="K38" s="2">
        <f>AVERAGE(Table64[JVM (instance only)])</f>
        <v>212.66666666666666</v>
      </c>
    </row>
    <row r="39" spans="2:11" x14ac:dyDescent="0.25">
      <c r="B39" t="s">
        <v>3</v>
      </c>
      <c r="C39" s="2">
        <f>C40-C38</f>
        <v>11558.666666666664</v>
      </c>
      <c r="D39" s="2">
        <f t="shared" ref="D39:I39" si="0">D40-D38</f>
        <v>1950.0000000000007</v>
      </c>
      <c r="E39" s="2">
        <f t="shared" si="0"/>
        <v>1984.6666666666672</v>
      </c>
      <c r="F39" s="2">
        <f t="shared" ref="F39:H39" si="1">F40-F38</f>
        <v>1242</v>
      </c>
      <c r="G39" s="2">
        <f t="shared" si="1"/>
        <v>488.33333333333326</v>
      </c>
      <c r="H39" s="2">
        <f t="shared" si="1"/>
        <v>489.66666666666663</v>
      </c>
      <c r="I39" s="2">
        <f t="shared" si="0"/>
        <v>1020.9999999999998</v>
      </c>
      <c r="J39" s="2"/>
      <c r="K39" s="2"/>
    </row>
    <row r="40" spans="2:11" x14ac:dyDescent="0.25">
      <c r="B40" t="s">
        <v>1</v>
      </c>
      <c r="C40" s="2">
        <f>AVERAGE(Table64[Newtonsoft (duration)]) - J38</f>
        <v>21383.333333333332</v>
      </c>
      <c r="D40" s="2">
        <f>AVERAGE(Table64[.NET baked full (duration)]) - J38</f>
        <v>3959.0000000000005</v>
      </c>
      <c r="E40" s="2">
        <f>AVERAGE(Table64[.NET baked minimal (duration)]) - J38</f>
        <v>3963.0000000000005</v>
      </c>
      <c r="F40" s="2">
        <f>AVERAGE(Table64[Jackson (duration)]) - J39</f>
        <v>2068.6666666666665</v>
      </c>
      <c r="G40" s="2">
        <f>AVERAGE(Table64[JVM baked full (duration)]) - J39</f>
        <v>1068.3333333333333</v>
      </c>
      <c r="H40" s="2">
        <f>AVERAGE(Table64[JVM baked minimal (duration)]) - J39</f>
        <v>1050.3333333333333</v>
      </c>
      <c r="I40" s="2">
        <f>AVERAGE(Table64[Protobuf.NET (duration)]) - J38</f>
        <v>1391.6666666666665</v>
      </c>
      <c r="J40" s="2"/>
      <c r="K40" s="2"/>
    </row>
    <row r="41" spans="2:11" x14ac:dyDescent="0.25">
      <c r="B41" t="s">
        <v>8</v>
      </c>
      <c r="C41" s="3">
        <f>AVERAGE(Table63[Newtonsoft (size)])</f>
        <v>102470052.66666667</v>
      </c>
      <c r="D41" s="3">
        <f>AVERAGE(Table63[.NET baked full (size)])</f>
        <v>100941867.66666667</v>
      </c>
      <c r="E41" s="3">
        <f>AVERAGE(Table63[.NET baked minimal (size)])</f>
        <v>95023371</v>
      </c>
      <c r="F41" s="3">
        <f>AVERAGE(Table63[Jackson (size)])</f>
        <v>93002718</v>
      </c>
      <c r="G41" s="3">
        <f>AVERAGE(Table63[JVM baked full (size)])</f>
        <v>98538448</v>
      </c>
      <c r="H41" s="3">
        <f>AVERAGE(Table63[JVM baked minimal (size)])</f>
        <v>87104525</v>
      </c>
      <c r="I41" s="3">
        <f>AVERAGE(Table63[Protobuf.NET (size)])</f>
        <v>46953298.666666664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DEVSQ(Table63[Newtonsoft (duration)])</f>
        <v>12042.666666666666</v>
      </c>
      <c r="D46" s="2">
        <f>DEVSQ(Table63[.NET baked full (duration)])</f>
        <v>216.66666666666663</v>
      </c>
      <c r="E46" s="2">
        <f>DEVSQ(Table63[.NET baked minimal (duration)])</f>
        <v>494</v>
      </c>
      <c r="F46" s="2">
        <f>DEVSQ(Table63[Jackson (duration)])</f>
        <v>512.66666666666663</v>
      </c>
      <c r="G46" s="2">
        <f>DEVSQ(Table63[JVM baked full (duration)])</f>
        <v>254</v>
      </c>
      <c r="H46" s="2">
        <f>DEVSQ(Table63[JVM baked minimal (duration)])</f>
        <v>24.666666666666664</v>
      </c>
      <c r="I46" s="2">
        <f>DEVSQ(Table63[Protobuf.NET (duration)])</f>
        <v>316.66666666666669</v>
      </c>
    </row>
    <row r="47" spans="2:11" x14ac:dyDescent="0.25">
      <c r="B47" t="s">
        <v>1</v>
      </c>
      <c r="C47" s="2">
        <f>DEVSQ(Table64[Newtonsoft (duration)])</f>
        <v>22262</v>
      </c>
      <c r="D47" s="2">
        <f>DEVSQ(Table64[.NET baked full (duration)])</f>
        <v>400.66666666666669</v>
      </c>
      <c r="E47" s="2">
        <f>DEVSQ(Table64[.NET baked minimal (duration)])</f>
        <v>88092.666666666672</v>
      </c>
      <c r="F47" s="2">
        <f>DEVSQ(Table64[Jackson (duration)])</f>
        <v>4194.666666666667</v>
      </c>
      <c r="G47" s="2">
        <f>DEVSQ(Table64[JVM baked full (duration)])</f>
        <v>1954.6666666666667</v>
      </c>
      <c r="H47" s="2">
        <f>DEVSQ(Table64[JVM baked minimal (duration)])</f>
        <v>60.666666666666657</v>
      </c>
      <c r="I47" s="2">
        <f>DEVSQ(Table64[Protobuf.NET (duration)])</f>
        <v>2712.6666666666665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10176</v>
      </c>
      <c r="C52">
        <v>102470287</v>
      </c>
      <c r="D52">
        <v>2438</v>
      </c>
      <c r="E52">
        <v>100941256</v>
      </c>
      <c r="F52">
        <v>2412</v>
      </c>
      <c r="G52">
        <v>95023604</v>
      </c>
      <c r="H52">
        <v>811</v>
      </c>
      <c r="I52">
        <v>93002718</v>
      </c>
      <c r="J52">
        <v>593</v>
      </c>
      <c r="K52">
        <v>98539768</v>
      </c>
      <c r="L52">
        <v>561</v>
      </c>
      <c r="M52">
        <v>87106505</v>
      </c>
      <c r="N52">
        <v>798</v>
      </c>
      <c r="O52">
        <v>46953632</v>
      </c>
    </row>
    <row r="53" spans="2:15" x14ac:dyDescent="0.25">
      <c r="B53">
        <v>10316</v>
      </c>
      <c r="C53">
        <v>102470210</v>
      </c>
      <c r="D53">
        <v>2458</v>
      </c>
      <c r="E53">
        <v>100942386</v>
      </c>
      <c r="F53">
        <v>2437</v>
      </c>
      <c r="G53">
        <v>95023011</v>
      </c>
      <c r="H53">
        <v>843</v>
      </c>
      <c r="I53">
        <v>93002718</v>
      </c>
      <c r="J53">
        <v>573</v>
      </c>
      <c r="K53">
        <v>98540868</v>
      </c>
      <c r="L53">
        <v>557</v>
      </c>
      <c r="M53">
        <v>87106945</v>
      </c>
      <c r="N53">
        <v>823</v>
      </c>
      <c r="O53">
        <v>46953221</v>
      </c>
    </row>
    <row r="54" spans="2:15" x14ac:dyDescent="0.25">
      <c r="B54">
        <v>10304</v>
      </c>
      <c r="C54">
        <v>102469661</v>
      </c>
      <c r="D54">
        <v>2453</v>
      </c>
      <c r="E54">
        <v>100941961</v>
      </c>
      <c r="F54">
        <v>2408</v>
      </c>
      <c r="G54">
        <v>95023498</v>
      </c>
      <c r="H54">
        <v>826</v>
      </c>
      <c r="I54">
        <v>93002718</v>
      </c>
      <c r="J54">
        <v>574</v>
      </c>
      <c r="K54">
        <v>98534708</v>
      </c>
      <c r="L54">
        <v>564</v>
      </c>
      <c r="M54">
        <v>87100125</v>
      </c>
      <c r="N54">
        <v>813</v>
      </c>
      <c r="O54">
        <v>46953043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21823</v>
      </c>
      <c r="C58">
        <v>4416</v>
      </c>
      <c r="D58">
        <v>4284</v>
      </c>
      <c r="E58">
        <v>2120</v>
      </c>
      <c r="F58">
        <v>1097</v>
      </c>
      <c r="G58">
        <v>1044</v>
      </c>
      <c r="H58">
        <v>1866</v>
      </c>
      <c r="I58">
        <v>441</v>
      </c>
      <c r="J58">
        <v>213</v>
      </c>
    </row>
    <row r="59" spans="2:15" x14ac:dyDescent="0.25">
      <c r="B59">
        <v>21719</v>
      </c>
      <c r="C59">
        <v>4392</v>
      </c>
      <c r="D59">
        <v>4646</v>
      </c>
      <c r="E59">
        <v>2054</v>
      </c>
      <c r="F59">
        <v>1073</v>
      </c>
      <c r="G59">
        <v>1054</v>
      </c>
      <c r="H59">
        <v>1793</v>
      </c>
      <c r="I59">
        <v>441</v>
      </c>
      <c r="J59">
        <v>212</v>
      </c>
    </row>
    <row r="60" spans="2:15" x14ac:dyDescent="0.25">
      <c r="B60">
        <v>21930</v>
      </c>
      <c r="C60">
        <v>4391</v>
      </c>
      <c r="D60">
        <v>4281</v>
      </c>
      <c r="E60">
        <v>2032</v>
      </c>
      <c r="F60">
        <v>1035</v>
      </c>
      <c r="G60">
        <v>1053</v>
      </c>
      <c r="H60">
        <v>1838</v>
      </c>
      <c r="I60">
        <v>440</v>
      </c>
      <c r="J60">
        <v>213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46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AVERAGE(Table67[Newtonsoft (duration)]) - J38</f>
        <v>97386.333333333328</v>
      </c>
      <c r="D38" s="2">
        <f>AVERAGE(Table67[.NET baked full (duration)]) - J38</f>
        <v>20905</v>
      </c>
      <c r="E38" s="2">
        <f>AVERAGE(Table67[.NET baked minimal (duration)]) - J38</f>
        <v>20589.666666666668</v>
      </c>
      <c r="F38" s="2">
        <f>AVERAGE(Table67[Jackson (duration)]) - J39</f>
        <v>5744.666666666667</v>
      </c>
      <c r="G38" s="2">
        <f>AVERAGE(Table67[JVM baked full (duration)]) - J39</f>
        <v>4229.666666666667</v>
      </c>
      <c r="H38" s="2">
        <f>AVERAGE(Table67[JVM baked minimal (duration)]) - J39</f>
        <v>4027.3333333333335</v>
      </c>
      <c r="I38" s="2">
        <f>AVERAGE(Table67[Protobuf.NET (duration)]) - J38</f>
        <v>3684</v>
      </c>
      <c r="J38" s="2">
        <f>AVERAGE(Table68[.NET (instance only)])</f>
        <v>4487</v>
      </c>
      <c r="K38" s="2">
        <f>AVERAGE(Table68[JVM (instance only)])</f>
        <v>1257</v>
      </c>
    </row>
    <row r="39" spans="2:11" x14ac:dyDescent="0.25">
      <c r="B39" t="s">
        <v>3</v>
      </c>
      <c r="C39" s="2">
        <f>C40-C38</f>
        <v>115684.33333333333</v>
      </c>
      <c r="D39" s="2">
        <f t="shared" ref="D39:I39" si="0">D40-D38</f>
        <v>19651.666666666664</v>
      </c>
      <c r="E39" s="2">
        <f t="shared" si="0"/>
        <v>20270.666666666668</v>
      </c>
      <c r="F39" s="2">
        <f t="shared" ref="F39:H39" si="1">F40-F38</f>
        <v>11534.333333333332</v>
      </c>
      <c r="G39" s="2">
        <f t="shared" si="1"/>
        <v>3123.6666666666661</v>
      </c>
      <c r="H39" s="2">
        <f t="shared" si="1"/>
        <v>2787.3333333333335</v>
      </c>
      <c r="I39" s="2">
        <f t="shared" si="0"/>
        <v>9988.6666666666679</v>
      </c>
      <c r="J39" s="2"/>
      <c r="K39" s="2"/>
    </row>
    <row r="40" spans="2:11" x14ac:dyDescent="0.25">
      <c r="B40" t="s">
        <v>1</v>
      </c>
      <c r="C40" s="2">
        <f>AVERAGE(Table68[Newtonsoft (duration)]) - J38</f>
        <v>213070.66666666666</v>
      </c>
      <c r="D40" s="2">
        <f>AVERAGE(Table68[.NET baked full (duration)]) - J38</f>
        <v>40556.666666666664</v>
      </c>
      <c r="E40" s="2">
        <f>AVERAGE(Table68[.NET baked minimal (duration)]) - J38</f>
        <v>40860.333333333336</v>
      </c>
      <c r="F40" s="2">
        <f>AVERAGE(Table68[Jackson (duration)]) - J39</f>
        <v>17279</v>
      </c>
      <c r="G40" s="2">
        <f>AVERAGE(Table68[JVM baked full (duration)]) - J39</f>
        <v>7353.333333333333</v>
      </c>
      <c r="H40" s="2">
        <f>AVERAGE(Table68[JVM baked minimal (duration)]) - J39</f>
        <v>6814.666666666667</v>
      </c>
      <c r="I40" s="2">
        <f>AVERAGE(Table68[Protobuf.NET (duration)]) - J38</f>
        <v>13672.666666666668</v>
      </c>
      <c r="J40" s="2"/>
      <c r="K40" s="2"/>
    </row>
    <row r="41" spans="2:11" x14ac:dyDescent="0.25">
      <c r="B41" t="s">
        <v>8</v>
      </c>
      <c r="C41" s="3">
        <f>AVERAGE(Table67[Newtonsoft (size)])</f>
        <v>1039404460</v>
      </c>
      <c r="D41" s="3">
        <f>AVERAGE(Table67[.NET baked full (size)])</f>
        <v>1023542432.3333334</v>
      </c>
      <c r="E41" s="3">
        <f>AVERAGE(Table67[.NET baked minimal (size)])</f>
        <v>965513133</v>
      </c>
      <c r="F41" s="3">
        <f>AVERAGE(Table67[Jackson (size)])</f>
        <v>940324285</v>
      </c>
      <c r="G41" s="3">
        <f>AVERAGE(Table67[JVM baked full (size)])</f>
        <v>995667008.33333337</v>
      </c>
      <c r="H41" s="3">
        <f>AVERAGE(Table67[JVM baked minimal (size)])</f>
        <v>881346738.66666663</v>
      </c>
      <c r="I41" s="3">
        <f>AVERAGE(Table67[Protobuf.NET (size)])</f>
        <v>479710649.33333331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DEVSQ(Table67[Newtonsoft (duration)])</f>
        <v>100524.66666666667</v>
      </c>
      <c r="D46" s="2">
        <f>DEVSQ(Table67[.NET baked full (duration)])</f>
        <v>11048</v>
      </c>
      <c r="E46" s="2">
        <f>DEVSQ(Table67[.NET baked minimal (duration)])</f>
        <v>4402.666666666667</v>
      </c>
      <c r="F46" s="2">
        <f>DEVSQ(Table67[Jackson (duration)])</f>
        <v>140832.66666666666</v>
      </c>
      <c r="G46" s="2">
        <f>DEVSQ(Table67[JVM baked full (duration)])</f>
        <v>3914.6666666666665</v>
      </c>
      <c r="H46" s="2">
        <f>DEVSQ(Table67[JVM baked minimal (duration)])</f>
        <v>2524.666666666667</v>
      </c>
      <c r="I46" s="2">
        <f>DEVSQ(Table67[Protobuf.NET (duration)])</f>
        <v>74</v>
      </c>
    </row>
    <row r="47" spans="2:11" x14ac:dyDescent="0.25">
      <c r="B47" t="s">
        <v>1</v>
      </c>
      <c r="C47" s="2">
        <f>DEVSQ(Table68[Newtonsoft (duration)])</f>
        <v>122728.66666666669</v>
      </c>
      <c r="D47" s="2">
        <f>DEVSQ(Table68[.NET baked full (duration)])</f>
        <v>42992.666666666672</v>
      </c>
      <c r="E47" s="2">
        <f>DEVSQ(Table68[.NET baked minimal (duration)])</f>
        <v>9562240.666666666</v>
      </c>
      <c r="F47" s="2">
        <f>DEVSQ(Table68[Jackson (duration)])</f>
        <v>369152</v>
      </c>
      <c r="G47" s="2">
        <f>DEVSQ(Table68[JVM baked full (duration)])</f>
        <v>6208.6666666666679</v>
      </c>
      <c r="H47" s="2">
        <f>DEVSQ(Table68[JVM baked minimal (duration)])</f>
        <v>5864.6666666666661</v>
      </c>
      <c r="I47" s="2">
        <f>DEVSQ(Table68[Protobuf.NET (duration)])</f>
        <v>29170.666666666664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101660</v>
      </c>
      <c r="C52">
        <v>1039979985</v>
      </c>
      <c r="D52">
        <v>25322</v>
      </c>
      <c r="E52">
        <v>1024699010</v>
      </c>
      <c r="F52">
        <v>25092</v>
      </c>
      <c r="G52">
        <v>965511152</v>
      </c>
      <c r="H52">
        <v>6041</v>
      </c>
      <c r="I52">
        <v>940324285</v>
      </c>
      <c r="J52">
        <v>4183</v>
      </c>
      <c r="K52">
        <v>995681675</v>
      </c>
      <c r="L52">
        <v>3991</v>
      </c>
      <c r="M52">
        <v>881323272</v>
      </c>
      <c r="N52">
        <v>8167</v>
      </c>
      <c r="O52">
        <v>479710633</v>
      </c>
    </row>
    <row r="53" spans="2:15" x14ac:dyDescent="0.25">
      <c r="B53">
        <v>102107</v>
      </c>
      <c r="C53">
        <v>1039984261</v>
      </c>
      <c r="D53">
        <v>25470</v>
      </c>
      <c r="E53">
        <v>1021228317</v>
      </c>
      <c r="F53">
        <v>25114</v>
      </c>
      <c r="G53">
        <v>965515200</v>
      </c>
      <c r="H53">
        <v>5529</v>
      </c>
      <c r="I53">
        <v>940324285</v>
      </c>
      <c r="J53">
        <v>4271</v>
      </c>
      <c r="K53">
        <v>995644275</v>
      </c>
      <c r="L53">
        <v>4062</v>
      </c>
      <c r="M53">
        <v>881356272</v>
      </c>
      <c r="N53">
        <v>8168</v>
      </c>
      <c r="O53">
        <v>479711221</v>
      </c>
    </row>
    <row r="54" spans="2:15" x14ac:dyDescent="0.25">
      <c r="B54">
        <v>101853</v>
      </c>
      <c r="C54">
        <v>1038249134</v>
      </c>
      <c r="D54">
        <v>25384</v>
      </c>
      <c r="E54">
        <v>1024699970</v>
      </c>
      <c r="F54">
        <v>25024</v>
      </c>
      <c r="G54">
        <v>965513047</v>
      </c>
      <c r="H54">
        <v>5664</v>
      </c>
      <c r="I54">
        <v>940324285</v>
      </c>
      <c r="J54">
        <v>4235</v>
      </c>
      <c r="K54">
        <v>995675075</v>
      </c>
      <c r="L54">
        <v>4029</v>
      </c>
      <c r="M54">
        <v>881360672</v>
      </c>
      <c r="N54">
        <v>8178</v>
      </c>
      <c r="O54">
        <v>479710094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217280</v>
      </c>
      <c r="C58">
        <v>45088</v>
      </c>
      <c r="D58">
        <v>47861</v>
      </c>
      <c r="E58">
        <v>16895</v>
      </c>
      <c r="F58">
        <v>7289</v>
      </c>
      <c r="G58">
        <v>6763</v>
      </c>
      <c r="H58">
        <v>18299</v>
      </c>
      <c r="I58">
        <v>4499</v>
      </c>
      <c r="J58">
        <v>1271</v>
      </c>
    </row>
    <row r="59" spans="2:15" x14ac:dyDescent="0.25">
      <c r="B59">
        <v>217637</v>
      </c>
      <c r="C59">
        <v>44880</v>
      </c>
      <c r="D59">
        <v>44296</v>
      </c>
      <c r="E59">
        <v>17199</v>
      </c>
      <c r="F59">
        <v>7385</v>
      </c>
      <c r="G59">
        <v>6810</v>
      </c>
      <c r="H59">
        <v>18085</v>
      </c>
      <c r="I59">
        <v>4474</v>
      </c>
      <c r="J59">
        <v>1254</v>
      </c>
    </row>
    <row r="60" spans="2:15" x14ac:dyDescent="0.25">
      <c r="B60">
        <v>217756</v>
      </c>
      <c r="C60">
        <v>45163</v>
      </c>
      <c r="D60">
        <v>43885</v>
      </c>
      <c r="E60">
        <v>17743</v>
      </c>
      <c r="F60">
        <v>7386</v>
      </c>
      <c r="G60">
        <v>6871</v>
      </c>
      <c r="H60">
        <v>18095</v>
      </c>
      <c r="I60">
        <v>4488</v>
      </c>
      <c r="J60">
        <v>1246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47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AVERAGE(Table71[Newtonsoft (duration)]) - J38</f>
        <v>978958</v>
      </c>
      <c r="D38" s="2">
        <f>AVERAGE(Table71[.NET baked full (duration)]) - J38</f>
        <v>217374.66666666666</v>
      </c>
      <c r="E38" s="2">
        <f>AVERAGE(Table71[.NET baked minimal (duration)]) - J38</f>
        <v>215631.66666666669</v>
      </c>
      <c r="F38" s="2">
        <f>AVERAGE(Table71[Jackson (duration)]) - J39</f>
        <v>57733.666666666664</v>
      </c>
      <c r="G38" s="2">
        <f>AVERAGE(Table71[JVM baked full (duration)]) - J39</f>
        <v>39337</v>
      </c>
      <c r="H38" s="2">
        <f>AVERAGE(Table71[JVM baked minimal (duration)]) - J39</f>
        <v>37728</v>
      </c>
      <c r="I38" s="2">
        <f>AVERAGE(Table71[Protobuf.NET (duration)]) - J38</f>
        <v>36791.333333333336</v>
      </c>
      <c r="J38" s="2">
        <f>AVERAGE(Table72[.NET (instance only)])</f>
        <v>45051.666666666664</v>
      </c>
      <c r="K38" s="2">
        <f>AVERAGE(Table72[JVM (instance only)])</f>
        <v>12262</v>
      </c>
    </row>
    <row r="39" spans="2:11" x14ac:dyDescent="0.25">
      <c r="B39" t="s">
        <v>3</v>
      </c>
      <c r="C39" s="2">
        <f>C40-C38</f>
        <v>1192748</v>
      </c>
      <c r="D39" s="2">
        <f t="shared" ref="D39:I39" si="0">D40-D38</f>
        <v>203193.33333333334</v>
      </c>
      <c r="E39" s="2">
        <f t="shared" si="0"/>
        <v>189885.99999999994</v>
      </c>
      <c r="F39" s="2">
        <f t="shared" ref="F39:H39" si="1">F40-F38</f>
        <v>112525</v>
      </c>
      <c r="G39" s="2">
        <f t="shared" si="1"/>
        <v>28836.333333333328</v>
      </c>
      <c r="H39" s="2">
        <f t="shared" si="1"/>
        <v>26887.333333333336</v>
      </c>
      <c r="I39" s="2">
        <f t="shared" si="0"/>
        <v>101155</v>
      </c>
      <c r="J39" s="2"/>
      <c r="K39" s="2"/>
    </row>
    <row r="40" spans="2:11" x14ac:dyDescent="0.25">
      <c r="B40" t="s">
        <v>1</v>
      </c>
      <c r="C40" s="2">
        <f>AVERAGE(Table72[Newtonsoft (duration)]) - J38</f>
        <v>2171706</v>
      </c>
      <c r="D40" s="2">
        <f>AVERAGE(Table72[.NET baked full (duration)]) - J38</f>
        <v>420568</v>
      </c>
      <c r="E40" s="2">
        <f>AVERAGE(Table72[.NET baked minimal (duration)]) - J38</f>
        <v>405517.66666666663</v>
      </c>
      <c r="F40" s="2">
        <f>AVERAGE(Table72[Jackson (duration)]) - J39</f>
        <v>170258.66666666666</v>
      </c>
      <c r="G40" s="2">
        <f>AVERAGE(Table72[JVM baked full (duration)]) - J39</f>
        <v>68173.333333333328</v>
      </c>
      <c r="H40" s="2">
        <f>AVERAGE(Table72[JVM baked minimal (duration)]) - J39</f>
        <v>64615.333333333336</v>
      </c>
      <c r="I40" s="2">
        <f>AVERAGE(Table72[Protobuf.NET (duration)]) - J38</f>
        <v>137946.33333333334</v>
      </c>
      <c r="J40" s="2"/>
      <c r="K40" s="2"/>
    </row>
    <row r="41" spans="2:11" x14ac:dyDescent="0.25">
      <c r="B41" t="s">
        <v>8</v>
      </c>
      <c r="C41" s="3">
        <f>AVERAGE(Table71[Newtonsoft (size)])</f>
        <v>10553400680.333334</v>
      </c>
      <c r="D41" s="3">
        <f>AVERAGE(Table71[.NET baked full (size)])</f>
        <v>10389069967.333334</v>
      </c>
      <c r="E41" s="3">
        <f>AVERAGE(Table71[.NET baked minimal (size)])</f>
        <v>9808749160.666666</v>
      </c>
      <c r="F41" s="3">
        <f>AVERAGE(Table71[Jackson (size)])</f>
        <v>9506224119</v>
      </c>
      <c r="G41" s="3">
        <f>AVERAGE(Table71[JVM baked full (size)])</f>
        <v>10059592771.666666</v>
      </c>
      <c r="H41" s="3">
        <f>AVERAGE(Table71[JVM baked minimal (size)])</f>
        <v>8916346702</v>
      </c>
      <c r="I41" s="3">
        <f>AVERAGE(Table71[Protobuf.NET (size)])</f>
        <v>4898916173.666667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DEVSQ(Table71[Newtonsoft (duration)])</f>
        <v>58792248.666666664</v>
      </c>
      <c r="D46" s="2">
        <f>DEVSQ(Table71[.NET baked full (duration)])</f>
        <v>404372.66666666669</v>
      </c>
      <c r="E46" s="2">
        <f>DEVSQ(Table71[.NET baked minimal (duration)])</f>
        <v>3066212.666666667</v>
      </c>
      <c r="F46" s="2">
        <f>DEVSQ(Table71[Jackson (duration)])</f>
        <v>1129760.6666666665</v>
      </c>
      <c r="G46" s="2">
        <f>DEVSQ(Table71[JVM baked full (duration)])</f>
        <v>1779722</v>
      </c>
      <c r="H46" s="2">
        <f>DEVSQ(Table71[JVM baked minimal (duration)])</f>
        <v>9213750</v>
      </c>
      <c r="I46" s="2">
        <f>DEVSQ(Table71[Protobuf.NET (duration)])</f>
        <v>85082</v>
      </c>
    </row>
    <row r="47" spans="2:11" x14ac:dyDescent="0.25">
      <c r="B47" t="s">
        <v>1</v>
      </c>
      <c r="C47" s="2">
        <f>DEVSQ(Table72[Newtonsoft (duration)])</f>
        <v>2354847664.666667</v>
      </c>
      <c r="D47" s="2">
        <f>DEVSQ(Table72[.NET baked full (duration)])</f>
        <v>75957288.666666672</v>
      </c>
      <c r="E47" s="2">
        <f>DEVSQ(Table72[.NET baked minimal (duration)])</f>
        <v>2523000.6666666665</v>
      </c>
      <c r="F47" s="2">
        <f>DEVSQ(Table72[Jackson (duration)])</f>
        <v>5027378.666666667</v>
      </c>
      <c r="G47" s="2">
        <f>DEVSQ(Table72[JVM baked full (duration)])</f>
        <v>5447904.666666667</v>
      </c>
      <c r="H47" s="2">
        <f>DEVSQ(Table72[JVM baked minimal (duration)])</f>
        <v>6081304.666666667</v>
      </c>
      <c r="I47" s="2">
        <f>DEVSQ(Table72[Protobuf.NET (duration)])</f>
        <v>2051502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1028033</v>
      </c>
      <c r="C52">
        <v>10553372450</v>
      </c>
      <c r="D52">
        <v>262745</v>
      </c>
      <c r="E52">
        <v>10400632788</v>
      </c>
      <c r="F52">
        <v>262049</v>
      </c>
      <c r="G52">
        <v>9808766923</v>
      </c>
      <c r="H52">
        <v>57649</v>
      </c>
      <c r="I52">
        <v>9506224119</v>
      </c>
      <c r="J52">
        <v>38317</v>
      </c>
      <c r="K52">
        <v>10059380105</v>
      </c>
      <c r="L52">
        <v>40203</v>
      </c>
      <c r="M52">
        <v>8916258702</v>
      </c>
      <c r="N52">
        <v>81874</v>
      </c>
      <c r="O52">
        <v>4898920417</v>
      </c>
    </row>
    <row r="53" spans="2:15" x14ac:dyDescent="0.25">
      <c r="B53">
        <v>1026152</v>
      </c>
      <c r="C53">
        <v>10553409814</v>
      </c>
      <c r="D53">
        <v>262622</v>
      </c>
      <c r="E53">
        <v>10365966564</v>
      </c>
      <c r="F53">
        <v>260367</v>
      </c>
      <c r="G53">
        <v>9808721800</v>
      </c>
      <c r="H53">
        <v>58524</v>
      </c>
      <c r="I53">
        <v>9506224119</v>
      </c>
      <c r="J53">
        <v>40178</v>
      </c>
      <c r="K53">
        <v>10059776105</v>
      </c>
      <c r="L53">
        <v>36603</v>
      </c>
      <c r="M53">
        <v>8916302702</v>
      </c>
      <c r="N53">
        <v>81623</v>
      </c>
      <c r="O53">
        <v>4898924559</v>
      </c>
    </row>
    <row r="54" spans="2:15" x14ac:dyDescent="0.25">
      <c r="B54">
        <v>1017844</v>
      </c>
      <c r="C54">
        <v>10553419777</v>
      </c>
      <c r="D54">
        <v>261912</v>
      </c>
      <c r="E54">
        <v>10400610550</v>
      </c>
      <c r="F54">
        <v>259634</v>
      </c>
      <c r="G54">
        <v>9808758759</v>
      </c>
      <c r="H54">
        <v>57028</v>
      </c>
      <c r="I54">
        <v>9506224119</v>
      </c>
      <c r="J54">
        <v>39516</v>
      </c>
      <c r="K54">
        <v>10059622105</v>
      </c>
      <c r="L54">
        <v>36378</v>
      </c>
      <c r="M54">
        <v>8916478702</v>
      </c>
      <c r="N54">
        <v>82032</v>
      </c>
      <c r="O54">
        <v>4898903545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2216858</v>
      </c>
      <c r="C58">
        <v>472478</v>
      </c>
      <c r="D58">
        <v>451863</v>
      </c>
      <c r="E58">
        <v>172088</v>
      </c>
      <c r="F58">
        <v>70078</v>
      </c>
      <c r="G58">
        <v>63040</v>
      </c>
      <c r="H58">
        <v>183503</v>
      </c>
      <c r="I58">
        <v>45318</v>
      </c>
      <c r="J58">
        <v>12695</v>
      </c>
    </row>
    <row r="59" spans="2:15" x14ac:dyDescent="0.25">
      <c r="B59">
        <v>2182394</v>
      </c>
      <c r="C59">
        <v>463834</v>
      </c>
      <c r="D59">
        <v>449843</v>
      </c>
      <c r="E59">
        <v>169282</v>
      </c>
      <c r="F59">
        <v>67165</v>
      </c>
      <c r="G59">
        <v>64317</v>
      </c>
      <c r="H59">
        <v>183659</v>
      </c>
      <c r="I59">
        <v>45653</v>
      </c>
      <c r="J59">
        <v>11840</v>
      </c>
    </row>
    <row r="60" spans="2:15" x14ac:dyDescent="0.25">
      <c r="B60">
        <v>2251021</v>
      </c>
      <c r="C60">
        <v>460547</v>
      </c>
      <c r="D60">
        <v>450002</v>
      </c>
      <c r="E60">
        <v>169406</v>
      </c>
      <c r="F60">
        <v>67277</v>
      </c>
      <c r="G60">
        <v>66489</v>
      </c>
      <c r="H60">
        <v>181832</v>
      </c>
      <c r="I60">
        <v>44184</v>
      </c>
      <c r="J60">
        <v>12251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48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AVERAGE(Table75[Newtonsoft (duration)]) - J38</f>
        <v>1174</v>
      </c>
      <c r="D38" s="2">
        <f>AVERAGE(Table75[.NET baked full (duration)]) - J38</f>
        <v>900.33333333333326</v>
      </c>
      <c r="E38" s="2">
        <f>AVERAGE(Table75[.NET baked minimal (duration)]) - J38</f>
        <v>893</v>
      </c>
      <c r="F38" s="2">
        <f>AVERAGE(Table75[Jackson (duration)]) - J39</f>
        <v>673</v>
      </c>
      <c r="G38" s="2">
        <f>AVERAGE(Table75[JVM baked full (duration)]) - J39</f>
        <v>570</v>
      </c>
      <c r="H38" s="2">
        <f>AVERAGE(Table75[JVM baked minimal (duration)]) - J39</f>
        <v>569.33333333333337</v>
      </c>
      <c r="I38" s="2">
        <f>AVERAGE(Table75[Protobuf.NET (duration)]) - J38</f>
        <v>265.66666666666669</v>
      </c>
      <c r="J38" s="2">
        <f>AVERAGE(Table76[.NET (instance only)])</f>
        <v>204</v>
      </c>
      <c r="K38" s="2">
        <f>AVERAGE(Table76[JVM (instance only)])</f>
        <v>196</v>
      </c>
    </row>
    <row r="39" spans="2:11" x14ac:dyDescent="0.25">
      <c r="B39" t="s">
        <v>3</v>
      </c>
      <c r="C39" s="2">
        <f>C40-C38</f>
        <v>1608.3333333333335</v>
      </c>
      <c r="D39" s="2">
        <f t="shared" ref="D39:I39" si="0">D40-D38</f>
        <v>1999.6666666666667</v>
      </c>
      <c r="E39" s="2">
        <f t="shared" si="0"/>
        <v>1961</v>
      </c>
      <c r="F39" s="2">
        <f t="shared" ref="F39:H39" si="1">F40-F38</f>
        <v>950.33333333333326</v>
      </c>
      <c r="G39" s="2">
        <f t="shared" si="1"/>
        <v>852</v>
      </c>
      <c r="H39" s="2">
        <f t="shared" si="1"/>
        <v>813.66666666666663</v>
      </c>
      <c r="I39" s="2">
        <f t="shared" si="0"/>
        <v>455.66666666666669</v>
      </c>
      <c r="J39" s="2"/>
      <c r="K39" s="2"/>
    </row>
    <row r="40" spans="2:11" x14ac:dyDescent="0.25">
      <c r="B40" t="s">
        <v>1</v>
      </c>
      <c r="C40" s="2">
        <f>AVERAGE(Table76[Newtonsoft (duration)]) - J38</f>
        <v>2782.3333333333335</v>
      </c>
      <c r="D40" s="2">
        <f>AVERAGE(Table76[.NET baked full (duration)]) - J38</f>
        <v>2900</v>
      </c>
      <c r="E40" s="2">
        <f>AVERAGE(Table76[.NET baked minimal (duration)]) - J38</f>
        <v>2854</v>
      </c>
      <c r="F40" s="2">
        <f>AVERAGE(Table76[Jackson (duration)]) - J39</f>
        <v>1623.3333333333333</v>
      </c>
      <c r="G40" s="2">
        <f>AVERAGE(Table76[JVM baked full (duration)]) - J39</f>
        <v>1422</v>
      </c>
      <c r="H40" s="2">
        <f>AVERAGE(Table76[JVM baked minimal (duration)]) - J39</f>
        <v>1383</v>
      </c>
      <c r="I40" s="2">
        <f>AVERAGE(Table76[Protobuf.NET (duration)]) - J38</f>
        <v>721.33333333333337</v>
      </c>
      <c r="J40" s="2"/>
      <c r="K40" s="2"/>
    </row>
    <row r="41" spans="2:11" x14ac:dyDescent="0.25">
      <c r="B41" t="s">
        <v>8</v>
      </c>
      <c r="C41" s="3">
        <f>AVERAGE(Table75[Newtonsoft (size)])</f>
        <v>53635456</v>
      </c>
      <c r="D41" s="3">
        <f>AVERAGE(Table75[.NET baked full (size)])</f>
        <v>53391164</v>
      </c>
      <c r="E41" s="3">
        <f>AVERAGE(Table75[.NET baked minimal (size)])</f>
        <v>49474394.666666664</v>
      </c>
      <c r="F41" s="3">
        <f>AVERAGE(Table75[Jackson (size)])</f>
        <v>50016359</v>
      </c>
      <c r="G41" s="3">
        <f>AVERAGE(Table75[JVM baked full (size)])</f>
        <v>53711989</v>
      </c>
      <c r="H41" s="3">
        <f>AVERAGE(Table75[JVM baked minimal (size)])</f>
        <v>49958915</v>
      </c>
      <c r="I41" s="3">
        <f>AVERAGE(Table75[Protobuf.NET (size)])</f>
        <v>23146398.333333332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DEVSQ(Table75[Newtonsoft (duration)])</f>
        <v>5222</v>
      </c>
      <c r="D46" s="2">
        <f>DEVSQ(Table75[.NET baked full (duration)])</f>
        <v>16.666666666666668</v>
      </c>
      <c r="E46" s="2">
        <f>DEVSQ(Table75[.NET baked minimal (duration)])</f>
        <v>98</v>
      </c>
      <c r="F46" s="2">
        <f>DEVSQ(Table75[Jackson (duration)])</f>
        <v>672</v>
      </c>
      <c r="G46" s="2">
        <f>DEVSQ(Table75[JVM baked full (duration)])</f>
        <v>14</v>
      </c>
      <c r="H46" s="2">
        <f>DEVSQ(Table75[JVM baked minimal (duration)])</f>
        <v>452.66666666666669</v>
      </c>
      <c r="I46" s="2">
        <f>DEVSQ(Table75[Protobuf.NET (duration)])</f>
        <v>4.6666666666666661</v>
      </c>
    </row>
    <row r="47" spans="2:11" x14ac:dyDescent="0.25">
      <c r="B47" t="s">
        <v>1</v>
      </c>
      <c r="C47" s="2">
        <f>DEVSQ(Table76[Newtonsoft (duration)])</f>
        <v>13380.666666666666</v>
      </c>
      <c r="D47" s="2">
        <f>DEVSQ(Table76[.NET baked full (duration)])</f>
        <v>134</v>
      </c>
      <c r="E47" s="2">
        <f>DEVSQ(Table76[.NET baked minimal (duration)])</f>
        <v>1016</v>
      </c>
      <c r="F47" s="2">
        <f>DEVSQ(Table76[Jackson (duration)])</f>
        <v>4.6666666666666661</v>
      </c>
      <c r="G47" s="2">
        <f>DEVSQ(Table76[JVM baked full (duration)])</f>
        <v>674</v>
      </c>
      <c r="H47" s="2">
        <f>DEVSQ(Table76[JVM baked minimal (duration)])</f>
        <v>558</v>
      </c>
      <c r="I47" s="2">
        <f>DEVSQ(Table76[Protobuf.NET (duration)])</f>
        <v>10.666666666666668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1349</v>
      </c>
      <c r="C52">
        <v>53635442</v>
      </c>
      <c r="D52">
        <v>1106</v>
      </c>
      <c r="E52">
        <v>53391147</v>
      </c>
      <c r="F52">
        <v>1094</v>
      </c>
      <c r="G52">
        <v>49693324</v>
      </c>
      <c r="H52">
        <v>677</v>
      </c>
      <c r="I52">
        <v>50016359</v>
      </c>
      <c r="J52">
        <v>573</v>
      </c>
      <c r="K52">
        <v>53711989</v>
      </c>
      <c r="L52">
        <v>579</v>
      </c>
      <c r="M52">
        <v>49958915</v>
      </c>
      <c r="N52">
        <v>468</v>
      </c>
      <c r="O52">
        <v>23146403</v>
      </c>
    </row>
    <row r="53" spans="2:15" x14ac:dyDescent="0.25">
      <c r="B53">
        <v>1437</v>
      </c>
      <c r="C53">
        <v>53635448</v>
      </c>
      <c r="D53">
        <v>1106</v>
      </c>
      <c r="E53">
        <v>53391143</v>
      </c>
      <c r="F53">
        <v>1105</v>
      </c>
      <c r="G53">
        <v>49693295</v>
      </c>
      <c r="H53">
        <v>653</v>
      </c>
      <c r="I53">
        <v>50016359</v>
      </c>
      <c r="J53">
        <v>568</v>
      </c>
      <c r="K53">
        <v>53711989</v>
      </c>
      <c r="L53">
        <v>552</v>
      </c>
      <c r="M53">
        <v>49958915</v>
      </c>
      <c r="N53">
        <v>471</v>
      </c>
      <c r="O53">
        <v>23146360</v>
      </c>
    </row>
    <row r="54" spans="2:15" x14ac:dyDescent="0.25">
      <c r="B54">
        <v>1348</v>
      </c>
      <c r="C54">
        <v>53635478</v>
      </c>
      <c r="D54">
        <v>1101</v>
      </c>
      <c r="E54">
        <v>53391202</v>
      </c>
      <c r="F54">
        <v>1092</v>
      </c>
      <c r="G54">
        <v>49036565</v>
      </c>
      <c r="H54">
        <v>689</v>
      </c>
      <c r="I54">
        <v>50016359</v>
      </c>
      <c r="J54">
        <v>569</v>
      </c>
      <c r="K54">
        <v>53711989</v>
      </c>
      <c r="L54">
        <v>577</v>
      </c>
      <c r="M54">
        <v>49958915</v>
      </c>
      <c r="N54">
        <v>470</v>
      </c>
      <c r="O54">
        <v>23146432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3080</v>
      </c>
      <c r="C58">
        <v>3113</v>
      </c>
      <c r="D58">
        <v>3070</v>
      </c>
      <c r="E58">
        <v>1623</v>
      </c>
      <c r="F58">
        <v>1401</v>
      </c>
      <c r="G58">
        <v>1380</v>
      </c>
      <c r="H58">
        <v>928</v>
      </c>
      <c r="I58">
        <v>204</v>
      </c>
      <c r="J58">
        <v>197</v>
      </c>
    </row>
    <row r="59" spans="2:15" x14ac:dyDescent="0.25">
      <c r="B59">
        <v>2929</v>
      </c>
      <c r="C59">
        <v>3102</v>
      </c>
      <c r="D59">
        <v>3072</v>
      </c>
      <c r="E59">
        <v>1622</v>
      </c>
      <c r="F59">
        <v>1430</v>
      </c>
      <c r="G59">
        <v>1368</v>
      </c>
      <c r="H59">
        <v>924</v>
      </c>
      <c r="I59">
        <v>207</v>
      </c>
      <c r="J59">
        <v>197</v>
      </c>
    </row>
    <row r="60" spans="2:15" x14ac:dyDescent="0.25">
      <c r="B60">
        <v>2950</v>
      </c>
      <c r="C60">
        <v>3097</v>
      </c>
      <c r="D60">
        <v>3032</v>
      </c>
      <c r="E60">
        <v>1625</v>
      </c>
      <c r="F60">
        <v>1435</v>
      </c>
      <c r="G60">
        <v>1401</v>
      </c>
      <c r="H60">
        <v>924</v>
      </c>
      <c r="I60">
        <v>201</v>
      </c>
      <c r="J60">
        <v>194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31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AVERAGE(Serialization[Newtonsoft (duration)]) - J38</f>
        <v>53.666666666666664</v>
      </c>
      <c r="D38" s="2">
        <f>AVERAGE(Serialization[.NET baked full (duration)]) - J38</f>
        <v>2</v>
      </c>
      <c r="E38" s="2">
        <f>AVERAGE(Serialization[.NET baked minimal (duration)]) - J38</f>
        <v>2</v>
      </c>
      <c r="F38" s="2">
        <f>AVERAGE(Serialization[Jackson (duration)]) - J39</f>
        <v>40.333333333333336</v>
      </c>
      <c r="G38" s="2">
        <f>AVERAGE(Serialization[JVM baked full (duration)]) - J39</f>
        <v>1.3333333333333333</v>
      </c>
      <c r="H38" s="2">
        <f>AVERAGE(Serialization[JVM baked minimal (duration)]) - J39</f>
        <v>1</v>
      </c>
      <c r="I38" s="2">
        <f>AVERAGE(Serialization[Protobuf.NET (duration)]) - J38</f>
        <v>22</v>
      </c>
      <c r="J38" s="2">
        <f>AVERAGE(Both[.NET (instance only)])</f>
        <v>0</v>
      </c>
      <c r="K38" s="2">
        <f>AVERAGE(Both[JVM (instance only)])</f>
        <v>1</v>
      </c>
    </row>
    <row r="39" spans="2:11" x14ac:dyDescent="0.25">
      <c r="B39" t="s">
        <v>3</v>
      </c>
      <c r="C39" s="2">
        <f>C40-C38</f>
        <v>11.333333333333336</v>
      </c>
      <c r="D39" s="2">
        <f t="shared" ref="D39:I39" si="0">D40-D38</f>
        <v>7</v>
      </c>
      <c r="E39" s="2">
        <f t="shared" si="0"/>
        <v>7</v>
      </c>
      <c r="F39" s="2">
        <f t="shared" ref="F39:H39" si="1">F40-F38</f>
        <v>21.333333333333329</v>
      </c>
      <c r="G39" s="2">
        <f t="shared" si="1"/>
        <v>2.333333333333333</v>
      </c>
      <c r="H39" s="2">
        <f t="shared" si="1"/>
        <v>1</v>
      </c>
      <c r="I39" s="2">
        <f t="shared" si="0"/>
        <v>2.3333333333333321</v>
      </c>
      <c r="J39" s="2"/>
      <c r="K39" s="2"/>
    </row>
    <row r="40" spans="2:11" x14ac:dyDescent="0.25">
      <c r="B40" t="s">
        <v>1</v>
      </c>
      <c r="C40" s="2">
        <f>AVERAGE(Both[Newtonsoft (duration)]) - J38</f>
        <v>65</v>
      </c>
      <c r="D40" s="2">
        <f>AVERAGE(Both[.NET baked full (duration)]) - J38</f>
        <v>9</v>
      </c>
      <c r="E40" s="2">
        <f>AVERAGE(Both[.NET baked minimal (duration)]) - J38</f>
        <v>9</v>
      </c>
      <c r="F40" s="2">
        <f>AVERAGE(Both[Jackson (duration)]) - J39</f>
        <v>61.666666666666664</v>
      </c>
      <c r="G40" s="2">
        <f>AVERAGE(Both[JVM baked full (duration)]) - J39</f>
        <v>3.6666666666666665</v>
      </c>
      <c r="H40" s="2">
        <f>AVERAGE(Both[JVM baked minimal (duration)]) - J39</f>
        <v>2</v>
      </c>
      <c r="I40" s="2">
        <f>AVERAGE(Both[Protobuf.NET (duration)]) - J38</f>
        <v>24.333333333333332</v>
      </c>
      <c r="J40" s="2"/>
      <c r="K40" s="2"/>
    </row>
    <row r="41" spans="2:11" x14ac:dyDescent="0.25">
      <c r="B41" t="s">
        <v>8</v>
      </c>
      <c r="C41" s="3">
        <f>AVERAGE(Serialization[Newtonsoft (size)])</f>
        <v>28</v>
      </c>
      <c r="D41" s="3">
        <f>AVERAGE(Serialization[.NET baked full (size)])</f>
        <v>40</v>
      </c>
      <c r="E41" s="3">
        <f>AVERAGE(Serialization[.NET baked minimal (size)])</f>
        <v>28</v>
      </c>
      <c r="F41" s="3">
        <f>AVERAGE(Serialization[Jackson (size)])</f>
        <v>40</v>
      </c>
      <c r="G41" s="3">
        <f>AVERAGE(Serialization[JVM baked full (size)])</f>
        <v>40</v>
      </c>
      <c r="H41" s="3">
        <f>AVERAGE(Serialization[JVM baked minimal (size)])</f>
        <v>28</v>
      </c>
      <c r="I41" s="3">
        <f>AVERAGE(Serialization[Protobuf.NET (size)])</f>
        <v>16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DEVSQ(Serialization[Newtonsoft (duration)])</f>
        <v>0.66666666666666674</v>
      </c>
      <c r="D46" s="2">
        <f>DEVSQ(Serialization[.NET baked full (duration)])</f>
        <v>0</v>
      </c>
      <c r="E46" s="2">
        <f>DEVSQ(Serialization[.NET baked minimal (duration)])</f>
        <v>0</v>
      </c>
      <c r="F46" s="2">
        <f>DEVSQ(Serialization[Jackson (duration)])</f>
        <v>0.66666666666666674</v>
      </c>
      <c r="G46" s="2">
        <f>DEVSQ(Serialization[JVM baked full (duration)])</f>
        <v>0.66666666666666663</v>
      </c>
      <c r="H46" s="2">
        <f>DEVSQ(Serialization[JVM baked minimal (duration)])</f>
        <v>0</v>
      </c>
      <c r="I46" s="2">
        <f>DEVSQ(Serialization[Protobuf.NET (duration)])</f>
        <v>0</v>
      </c>
    </row>
    <row r="47" spans="2:11" x14ac:dyDescent="0.25">
      <c r="B47" t="s">
        <v>1</v>
      </c>
      <c r="C47" s="2">
        <f>DEVSQ(Both[Newtonsoft (duration)])</f>
        <v>0</v>
      </c>
      <c r="D47" s="2">
        <f>DEVSQ(Both[.NET baked full (duration)])</f>
        <v>0</v>
      </c>
      <c r="E47" s="2">
        <f>DEVSQ(Both[.NET baked minimal (duration)])</f>
        <v>0</v>
      </c>
      <c r="F47" s="2">
        <f>DEVSQ(Both[Jackson (duration)])</f>
        <v>0.66666666666666674</v>
      </c>
      <c r="G47" s="2">
        <f>DEVSQ(Both[JVM baked full (duration)])</f>
        <v>0.66666666666666674</v>
      </c>
      <c r="H47" s="2">
        <f>DEVSQ(Both[JVM baked minimal (duration)])</f>
        <v>0</v>
      </c>
      <c r="I47" s="2">
        <f>DEVSQ(Both[Protobuf.NET (duration)])</f>
        <v>0.66666666666666674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53</v>
      </c>
      <c r="C52">
        <v>28</v>
      </c>
      <c r="D52">
        <v>2</v>
      </c>
      <c r="E52">
        <v>40</v>
      </c>
      <c r="F52">
        <v>2</v>
      </c>
      <c r="G52">
        <v>28</v>
      </c>
      <c r="H52">
        <v>40</v>
      </c>
      <c r="I52">
        <v>40</v>
      </c>
      <c r="J52">
        <v>1</v>
      </c>
      <c r="K52">
        <v>40</v>
      </c>
      <c r="L52">
        <v>1</v>
      </c>
      <c r="M52">
        <v>28</v>
      </c>
      <c r="N52">
        <v>22</v>
      </c>
      <c r="O52">
        <v>16</v>
      </c>
    </row>
    <row r="53" spans="2:15" x14ac:dyDescent="0.25">
      <c r="B53">
        <v>54</v>
      </c>
      <c r="C53">
        <v>28</v>
      </c>
      <c r="D53">
        <v>2</v>
      </c>
      <c r="E53">
        <v>40</v>
      </c>
      <c r="F53">
        <v>2</v>
      </c>
      <c r="G53">
        <v>28</v>
      </c>
      <c r="H53">
        <v>40</v>
      </c>
      <c r="I53">
        <v>40</v>
      </c>
      <c r="J53">
        <v>2</v>
      </c>
      <c r="K53">
        <v>40</v>
      </c>
      <c r="L53">
        <v>1</v>
      </c>
      <c r="M53">
        <v>28</v>
      </c>
      <c r="N53">
        <v>22</v>
      </c>
      <c r="O53">
        <v>16</v>
      </c>
    </row>
    <row r="54" spans="2:15" x14ac:dyDescent="0.25">
      <c r="B54">
        <v>54</v>
      </c>
      <c r="C54">
        <v>28</v>
      </c>
      <c r="D54">
        <v>2</v>
      </c>
      <c r="E54">
        <v>40</v>
      </c>
      <c r="F54">
        <v>2</v>
      </c>
      <c r="G54">
        <v>28</v>
      </c>
      <c r="H54">
        <v>41</v>
      </c>
      <c r="I54">
        <v>40</v>
      </c>
      <c r="J54">
        <v>1</v>
      </c>
      <c r="K54">
        <v>40</v>
      </c>
      <c r="L54">
        <v>1</v>
      </c>
      <c r="M54">
        <v>28</v>
      </c>
      <c r="N54">
        <v>22</v>
      </c>
      <c r="O54">
        <v>16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65</v>
      </c>
      <c r="C58">
        <v>9</v>
      </c>
      <c r="D58">
        <v>9</v>
      </c>
      <c r="E58">
        <v>62</v>
      </c>
      <c r="F58">
        <v>3</v>
      </c>
      <c r="G58">
        <v>2</v>
      </c>
      <c r="H58">
        <v>24</v>
      </c>
      <c r="I58">
        <v>0</v>
      </c>
      <c r="J58">
        <v>1</v>
      </c>
    </row>
    <row r="59" spans="2:15" x14ac:dyDescent="0.25">
      <c r="B59">
        <v>65</v>
      </c>
      <c r="C59">
        <v>9</v>
      </c>
      <c r="D59">
        <v>9</v>
      </c>
      <c r="E59">
        <v>61</v>
      </c>
      <c r="F59">
        <v>4</v>
      </c>
      <c r="G59">
        <v>2</v>
      </c>
      <c r="H59">
        <v>25</v>
      </c>
      <c r="I59">
        <v>0</v>
      </c>
      <c r="J59">
        <v>1</v>
      </c>
    </row>
    <row r="60" spans="2:15" x14ac:dyDescent="0.25">
      <c r="B60">
        <v>65</v>
      </c>
      <c r="C60">
        <v>9</v>
      </c>
      <c r="D60">
        <v>9</v>
      </c>
      <c r="E60">
        <v>62</v>
      </c>
      <c r="F60">
        <v>4</v>
      </c>
      <c r="G60">
        <v>2</v>
      </c>
      <c r="H60">
        <v>24</v>
      </c>
      <c r="I60">
        <v>0</v>
      </c>
      <c r="J60">
        <v>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49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AVERAGE(Table79[Newtonsoft (duration)]) - J38</f>
        <v>125763.99999999999</v>
      </c>
      <c r="D38" s="2">
        <f>AVERAGE(Table79[.NET baked full (duration)]) - J38</f>
        <v>258962.66666666666</v>
      </c>
      <c r="E38" s="2">
        <f>AVERAGE(Table79[.NET baked minimal (duration)]) - J38</f>
        <v>257580.33333333334</v>
      </c>
      <c r="F38" s="2">
        <f>AVERAGE(Table79[Jackson (duration)]) - J39</f>
        <v>37344.666666666664</v>
      </c>
      <c r="G38" s="2">
        <f>AVERAGE(Table79[JVM baked full (duration)]) - J39</f>
        <v>41395.333333333336</v>
      </c>
      <c r="H38" s="2">
        <f>AVERAGE(Table79[JVM baked minimal (duration)]) - J39</f>
        <v>41057</v>
      </c>
      <c r="I38" s="2">
        <f>AVERAGE(Table79[Protobuf.NET (duration)]) - J38</f>
        <v>35836.666666666672</v>
      </c>
      <c r="J38" s="2">
        <f>AVERAGE(Table80[.NET (instance only)])</f>
        <v>27162.666666666668</v>
      </c>
      <c r="K38" s="2">
        <f>AVERAGE(Table80[JVM (instance only)])</f>
        <v>7269.666666666667</v>
      </c>
    </row>
    <row r="39" spans="2:11" x14ac:dyDescent="0.25">
      <c r="B39" t="s">
        <v>3</v>
      </c>
      <c r="C39" s="2">
        <f>C40-C38</f>
        <v>179023.33333333331</v>
      </c>
      <c r="D39" s="2">
        <f t="shared" ref="D39:I39" si="0">D40-D38</f>
        <v>193987.99999999997</v>
      </c>
      <c r="E39" s="2">
        <f t="shared" si="0"/>
        <v>207652.66666666666</v>
      </c>
      <c r="F39" s="2">
        <f t="shared" ref="F39:H39" si="1">F40-F38</f>
        <v>60518.666666666664</v>
      </c>
      <c r="G39" s="2">
        <f t="shared" si="1"/>
        <v>58643.666666666664</v>
      </c>
      <c r="H39" s="2">
        <f t="shared" si="1"/>
        <v>57891</v>
      </c>
      <c r="I39" s="2">
        <f t="shared" si="0"/>
        <v>97678.666666666672</v>
      </c>
      <c r="J39" s="2"/>
      <c r="K39" s="2"/>
    </row>
    <row r="40" spans="2:11" x14ac:dyDescent="0.25">
      <c r="B40" t="s">
        <v>1</v>
      </c>
      <c r="C40" s="2">
        <f>AVERAGE(Table80[Newtonsoft (duration)]) - J38</f>
        <v>304787.33333333331</v>
      </c>
      <c r="D40" s="2">
        <f>AVERAGE(Table80[.NET baked full (duration)]) - J38</f>
        <v>452950.66666666663</v>
      </c>
      <c r="E40" s="2">
        <f>AVERAGE(Table80[.NET baked minimal (duration)]) - J38</f>
        <v>465233</v>
      </c>
      <c r="F40" s="2">
        <f>AVERAGE(Table80[Jackson (duration)]) - J39</f>
        <v>97863.333333333328</v>
      </c>
      <c r="G40" s="2">
        <f>AVERAGE(Table80[JVM baked full (duration)]) - J39</f>
        <v>100039</v>
      </c>
      <c r="H40" s="2">
        <f>AVERAGE(Table80[JVM baked minimal (duration)]) - J39</f>
        <v>98948</v>
      </c>
      <c r="I40" s="2">
        <f>AVERAGE(Table80[Protobuf.NET (duration)]) - J38</f>
        <v>133515.33333333334</v>
      </c>
      <c r="J40" s="2"/>
      <c r="K40" s="2"/>
    </row>
    <row r="41" spans="2:11" x14ac:dyDescent="0.25">
      <c r="B41" t="s">
        <v>8</v>
      </c>
      <c r="C41" s="3">
        <f>AVERAGE(Table79[Newtonsoft (size)])</f>
        <v>9819175867.333334</v>
      </c>
      <c r="D41" s="3">
        <f>AVERAGE(Table79[.NET baked full (size)])</f>
        <v>9799348273</v>
      </c>
      <c r="E41" s="3">
        <f>AVERAGE(Table79[.NET baked minimal (size)])</f>
        <v>9512405183.333334</v>
      </c>
      <c r="F41" s="3">
        <f>AVERAGE(Table79[Jackson (size)])</f>
        <v>9536735419</v>
      </c>
      <c r="G41" s="3">
        <f>AVERAGE(Table79[JVM baked full (size)])</f>
        <v>9823666697</v>
      </c>
      <c r="H41" s="3">
        <f>AVERAGE(Table79[JVM baked minimal (size)])</f>
        <v>9531222625</v>
      </c>
      <c r="I41" s="3">
        <f>AVERAGE(Table79[Protobuf.NET (size)])</f>
        <v>7495744817.333333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DEVSQ(Table79[Newtonsoft (duration)])</f>
        <v>110772.66666666667</v>
      </c>
      <c r="D46" s="2">
        <f>DEVSQ(Table79[.NET baked full (duration)])</f>
        <v>197330.66666666666</v>
      </c>
      <c r="E46" s="2">
        <f>DEVSQ(Table79[.NET baked minimal (duration)])</f>
        <v>169442</v>
      </c>
      <c r="F46" s="2">
        <f>DEVSQ(Table79[Jackson (duration)])</f>
        <v>94040.666666666657</v>
      </c>
      <c r="G46" s="2">
        <f>DEVSQ(Table79[JVM baked full (duration)])</f>
        <v>98004.666666666657</v>
      </c>
      <c r="H46" s="2">
        <f>DEVSQ(Table79[JVM baked minimal (duration)])</f>
        <v>101594</v>
      </c>
      <c r="I46" s="2">
        <f>DEVSQ(Table79[Protobuf.NET (duration)])</f>
        <v>312162.66666666663</v>
      </c>
    </row>
    <row r="47" spans="2:11" x14ac:dyDescent="0.25">
      <c r="B47" t="s">
        <v>1</v>
      </c>
      <c r="C47" s="2">
        <f>DEVSQ(Table80[Newtonsoft (duration)])</f>
        <v>20534202</v>
      </c>
      <c r="D47" s="2">
        <f>DEVSQ(Table80[.NET baked full (duration)])</f>
        <v>8732940.666666666</v>
      </c>
      <c r="E47" s="2">
        <f>DEVSQ(Table80[.NET baked minimal (duration)])</f>
        <v>2001142048.6666667</v>
      </c>
      <c r="F47" s="2">
        <f>DEVSQ(Table80[Jackson (duration)])</f>
        <v>3538192.6666666665</v>
      </c>
      <c r="G47" s="2">
        <f>DEVSQ(Table80[JVM baked full (duration)])</f>
        <v>546806</v>
      </c>
      <c r="H47" s="2">
        <f>DEVSQ(Table80[JVM baked minimal (duration)])</f>
        <v>433238</v>
      </c>
      <c r="I47" s="2">
        <f>DEVSQ(Table80[Protobuf.NET (duration)])</f>
        <v>25410296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153083</v>
      </c>
      <c r="C52">
        <v>9819175709</v>
      </c>
      <c r="D52">
        <v>286240</v>
      </c>
      <c r="E52">
        <v>9799348554</v>
      </c>
      <c r="F52">
        <v>285063</v>
      </c>
      <c r="G52">
        <v>9512404355</v>
      </c>
      <c r="H52">
        <v>37224</v>
      </c>
      <c r="I52">
        <v>9536735419</v>
      </c>
      <c r="J52">
        <v>41249</v>
      </c>
      <c r="K52">
        <v>9823666697</v>
      </c>
      <c r="L52">
        <v>41080</v>
      </c>
      <c r="M52">
        <v>9531222625</v>
      </c>
      <c r="N52">
        <v>62600</v>
      </c>
      <c r="O52">
        <v>7495745904</v>
      </c>
    </row>
    <row r="53" spans="2:15" x14ac:dyDescent="0.25">
      <c r="B53">
        <v>153041</v>
      </c>
      <c r="C53">
        <v>9819175758</v>
      </c>
      <c r="D53">
        <v>286366</v>
      </c>
      <c r="E53">
        <v>9799348207</v>
      </c>
      <c r="F53">
        <v>284494</v>
      </c>
      <c r="G53">
        <v>9512405412</v>
      </c>
      <c r="H53">
        <v>37215</v>
      </c>
      <c r="I53">
        <v>9536735419</v>
      </c>
      <c r="J53">
        <v>41650</v>
      </c>
      <c r="K53">
        <v>9823666697</v>
      </c>
      <c r="L53">
        <v>41270</v>
      </c>
      <c r="M53">
        <v>9531222625</v>
      </c>
      <c r="N53">
        <v>63008</v>
      </c>
      <c r="O53">
        <v>7495744269</v>
      </c>
    </row>
    <row r="54" spans="2:15" x14ac:dyDescent="0.25">
      <c r="B54">
        <v>152656</v>
      </c>
      <c r="C54">
        <v>9819176135</v>
      </c>
      <c r="D54">
        <v>285770</v>
      </c>
      <c r="E54">
        <v>9799348058</v>
      </c>
      <c r="F54">
        <v>284672</v>
      </c>
      <c r="G54">
        <v>9512405783</v>
      </c>
      <c r="H54">
        <v>37595</v>
      </c>
      <c r="I54">
        <v>9536735419</v>
      </c>
      <c r="J54">
        <v>41287</v>
      </c>
      <c r="K54">
        <v>9823666697</v>
      </c>
      <c r="L54">
        <v>40821</v>
      </c>
      <c r="M54">
        <v>9531222625</v>
      </c>
      <c r="N54">
        <v>63390</v>
      </c>
      <c r="O54">
        <v>7495744279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331749</v>
      </c>
      <c r="C58">
        <v>478277</v>
      </c>
      <c r="D58">
        <v>474535</v>
      </c>
      <c r="E58">
        <v>99104</v>
      </c>
      <c r="F58">
        <v>100573</v>
      </c>
      <c r="G58">
        <v>99111</v>
      </c>
      <c r="H58">
        <v>158404</v>
      </c>
      <c r="I58">
        <v>27353</v>
      </c>
      <c r="J58">
        <v>7360</v>
      </c>
    </row>
    <row r="59" spans="2:15" x14ac:dyDescent="0.25">
      <c r="B59">
        <v>335250</v>
      </c>
      <c r="C59">
        <v>479676</v>
      </c>
      <c r="D59">
        <v>473734</v>
      </c>
      <c r="E59">
        <v>96459</v>
      </c>
      <c r="F59">
        <v>100016</v>
      </c>
      <c r="G59">
        <v>99310</v>
      </c>
      <c r="H59">
        <v>158844</v>
      </c>
      <c r="I59">
        <v>27006</v>
      </c>
      <c r="J59">
        <v>7241</v>
      </c>
    </row>
    <row r="60" spans="2:15" x14ac:dyDescent="0.25">
      <c r="B60">
        <v>328851</v>
      </c>
      <c r="C60">
        <v>482387</v>
      </c>
      <c r="D60">
        <v>528918</v>
      </c>
      <c r="E60">
        <v>98027</v>
      </c>
      <c r="F60">
        <v>99528</v>
      </c>
      <c r="G60">
        <v>98423</v>
      </c>
      <c r="H60">
        <v>164786</v>
      </c>
      <c r="I60">
        <v>27129</v>
      </c>
      <c r="J60">
        <v>7208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32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AVERAGE(Table11[Newtonsoft (duration)]) - J38</f>
        <v>64</v>
      </c>
      <c r="D38" s="2">
        <f>AVERAGE(Table11[.NET baked full (duration)]) - J38</f>
        <v>13</v>
      </c>
      <c r="E38" s="2">
        <f>AVERAGE(Table11[.NET baked minimal (duration)]) - J38</f>
        <v>12</v>
      </c>
      <c r="F38" s="2">
        <f>AVERAGE(Table11[Jackson (duration)]) - J39</f>
        <v>69</v>
      </c>
      <c r="G38" s="2">
        <f>AVERAGE(Table11[JVM baked full (duration)]) - J39</f>
        <v>3</v>
      </c>
      <c r="H38" s="2">
        <f>AVERAGE(Table11[JVM baked minimal (duration)]) - J39</f>
        <v>3</v>
      </c>
      <c r="I38" s="2">
        <f>AVERAGE(Table11[Protobuf.NET (duration)]) - J38</f>
        <v>33.666666666666664</v>
      </c>
      <c r="J38" s="2">
        <f>AVERAGE(Table12[.NET (instance only)])</f>
        <v>1</v>
      </c>
      <c r="K38" s="2">
        <f>AVERAGE(Table12[JVM (instance only)])</f>
        <v>2</v>
      </c>
    </row>
    <row r="39" spans="2:11" x14ac:dyDescent="0.25">
      <c r="B39" t="s">
        <v>3</v>
      </c>
      <c r="C39" s="2">
        <f>C40-C38</f>
        <v>17</v>
      </c>
      <c r="D39" s="2">
        <f t="shared" ref="D39:I39" si="0">D40-D38</f>
        <v>8</v>
      </c>
      <c r="E39" s="2">
        <f t="shared" si="0"/>
        <v>9</v>
      </c>
      <c r="F39" s="2">
        <f t="shared" ref="F39:H39" si="1">F40-F38</f>
        <v>55.333333333333329</v>
      </c>
      <c r="G39" s="2">
        <f t="shared" si="1"/>
        <v>3</v>
      </c>
      <c r="H39" s="2">
        <f t="shared" si="1"/>
        <v>1.333333333333333</v>
      </c>
      <c r="I39" s="2">
        <f t="shared" si="0"/>
        <v>2</v>
      </c>
      <c r="J39" s="2"/>
      <c r="K39" s="2"/>
    </row>
    <row r="40" spans="2:11" x14ac:dyDescent="0.25">
      <c r="B40" t="s">
        <v>1</v>
      </c>
      <c r="C40" s="2">
        <f>AVERAGE(Table12[Newtonsoft (duration)]) - J38</f>
        <v>81</v>
      </c>
      <c r="D40" s="2">
        <f>AVERAGE(Table12[.NET baked full (duration)]) - J38</f>
        <v>21</v>
      </c>
      <c r="E40" s="2">
        <f>AVERAGE(Table12[.NET baked minimal (duration)]) - J38</f>
        <v>21</v>
      </c>
      <c r="F40" s="2">
        <f>AVERAGE(Table12[Jackson (duration)]) - J39</f>
        <v>124.33333333333333</v>
      </c>
      <c r="G40" s="2">
        <f>AVERAGE(Table12[JVM baked full (duration)]) - J39</f>
        <v>6</v>
      </c>
      <c r="H40" s="2">
        <f>AVERAGE(Table12[JVM baked minimal (duration)]) - J39</f>
        <v>4.333333333333333</v>
      </c>
      <c r="I40" s="2">
        <f>AVERAGE(Table12[Protobuf.NET (duration)]) - J38</f>
        <v>35.666666666666664</v>
      </c>
      <c r="J40" s="2"/>
      <c r="K40" s="2"/>
    </row>
    <row r="41" spans="2:11" x14ac:dyDescent="0.25">
      <c r="B41" t="s">
        <v>8</v>
      </c>
      <c r="C41" s="3">
        <f>AVERAGE(Table11[Newtonsoft (size)])</f>
        <v>111</v>
      </c>
      <c r="D41" s="3">
        <f>AVERAGE(Table11[.NET baked full (size)])</f>
        <v>141</v>
      </c>
      <c r="E41" s="3">
        <f>AVERAGE(Table11[.NET baked minimal (size)])</f>
        <v>75</v>
      </c>
      <c r="F41" s="3">
        <f>AVERAGE(Table11[Jackson (size)])</f>
        <v>74</v>
      </c>
      <c r="G41" s="3">
        <f>AVERAGE(Table11[JVM baked full (size)])</f>
        <v>141</v>
      </c>
      <c r="H41" s="3">
        <f>AVERAGE(Table11[JVM baked minimal (size)])</f>
        <v>54</v>
      </c>
      <c r="I41" s="3">
        <f>AVERAGE(Table11[Protobuf.NET (size)])</f>
        <v>38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DEVSQ(Table11[Newtonsoft (duration)])</f>
        <v>0</v>
      </c>
      <c r="D46" s="2">
        <f>DEVSQ(Table11[.NET baked full (duration)])</f>
        <v>0</v>
      </c>
      <c r="E46" s="2">
        <f>DEVSQ(Table11[.NET baked minimal (duration)])</f>
        <v>0</v>
      </c>
      <c r="F46" s="2">
        <f>DEVSQ(Table11[Jackson (duration)])</f>
        <v>0</v>
      </c>
      <c r="G46" s="2">
        <f>DEVSQ(Table11[JVM baked full (duration)])</f>
        <v>0</v>
      </c>
      <c r="H46" s="2">
        <f>DEVSQ(Table11[JVM baked minimal (duration)])</f>
        <v>0</v>
      </c>
      <c r="I46" s="2">
        <f>DEVSQ(Table11[Protobuf.NET (duration)])</f>
        <v>0.66666666666666674</v>
      </c>
    </row>
    <row r="47" spans="2:11" x14ac:dyDescent="0.25">
      <c r="B47" t="s">
        <v>1</v>
      </c>
      <c r="C47" s="2">
        <f>DEVSQ(Table12[Newtonsoft (duration)])</f>
        <v>0</v>
      </c>
      <c r="D47" s="2">
        <f>DEVSQ(Table12[.NET baked full (duration)])</f>
        <v>0</v>
      </c>
      <c r="E47" s="2">
        <f>DEVSQ(Table12[.NET baked minimal (duration)])</f>
        <v>0</v>
      </c>
      <c r="F47" s="2">
        <f>DEVSQ(Table12[Jackson (duration)])</f>
        <v>0.66666666666666663</v>
      </c>
      <c r="G47" s="2">
        <f>DEVSQ(Table12[JVM baked full (duration)])</f>
        <v>0</v>
      </c>
      <c r="H47" s="2">
        <f>DEVSQ(Table12[JVM baked minimal (duration)])</f>
        <v>0.66666666666666674</v>
      </c>
      <c r="I47" s="2">
        <f>DEVSQ(Table12[Protobuf.NET (duration)])</f>
        <v>0.66666666666666674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65</v>
      </c>
      <c r="C52">
        <v>111</v>
      </c>
      <c r="D52">
        <v>14</v>
      </c>
      <c r="E52">
        <v>141</v>
      </c>
      <c r="F52">
        <v>13</v>
      </c>
      <c r="G52">
        <v>75</v>
      </c>
      <c r="H52">
        <v>69</v>
      </c>
      <c r="I52">
        <v>74</v>
      </c>
      <c r="J52">
        <v>3</v>
      </c>
      <c r="K52">
        <v>141</v>
      </c>
      <c r="L52">
        <v>3</v>
      </c>
      <c r="M52">
        <v>54</v>
      </c>
      <c r="N52">
        <v>34</v>
      </c>
      <c r="O52">
        <v>38</v>
      </c>
    </row>
    <row r="53" spans="2:15" x14ac:dyDescent="0.25">
      <c r="B53">
        <v>65</v>
      </c>
      <c r="C53">
        <v>111</v>
      </c>
      <c r="D53">
        <v>14</v>
      </c>
      <c r="E53">
        <v>141</v>
      </c>
      <c r="F53">
        <v>13</v>
      </c>
      <c r="G53">
        <v>75</v>
      </c>
      <c r="H53">
        <v>69</v>
      </c>
      <c r="I53">
        <v>74</v>
      </c>
      <c r="J53">
        <v>3</v>
      </c>
      <c r="K53">
        <v>141</v>
      </c>
      <c r="L53">
        <v>3</v>
      </c>
      <c r="M53">
        <v>54</v>
      </c>
      <c r="N53">
        <v>35</v>
      </c>
      <c r="O53">
        <v>38</v>
      </c>
    </row>
    <row r="54" spans="2:15" x14ac:dyDescent="0.25">
      <c r="B54">
        <v>65</v>
      </c>
      <c r="C54">
        <v>111</v>
      </c>
      <c r="D54">
        <v>14</v>
      </c>
      <c r="E54">
        <v>141</v>
      </c>
      <c r="F54">
        <v>13</v>
      </c>
      <c r="G54">
        <v>75</v>
      </c>
      <c r="H54">
        <v>69</v>
      </c>
      <c r="I54">
        <v>74</v>
      </c>
      <c r="J54">
        <v>3</v>
      </c>
      <c r="K54">
        <v>141</v>
      </c>
      <c r="L54">
        <v>3</v>
      </c>
      <c r="M54">
        <v>54</v>
      </c>
      <c r="N54">
        <v>35</v>
      </c>
      <c r="O54">
        <v>38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82</v>
      </c>
      <c r="C58">
        <v>22</v>
      </c>
      <c r="D58">
        <v>22</v>
      </c>
      <c r="E58">
        <v>125</v>
      </c>
      <c r="F58">
        <v>6</v>
      </c>
      <c r="G58">
        <v>5</v>
      </c>
      <c r="H58">
        <v>37</v>
      </c>
      <c r="I58">
        <v>1</v>
      </c>
      <c r="J58">
        <v>2</v>
      </c>
    </row>
    <row r="59" spans="2:15" x14ac:dyDescent="0.25">
      <c r="B59">
        <v>82</v>
      </c>
      <c r="C59">
        <v>22</v>
      </c>
      <c r="D59">
        <v>22</v>
      </c>
      <c r="E59">
        <v>124</v>
      </c>
      <c r="F59">
        <v>6</v>
      </c>
      <c r="G59">
        <v>4</v>
      </c>
      <c r="H59">
        <v>36</v>
      </c>
      <c r="I59">
        <v>1</v>
      </c>
      <c r="J59">
        <v>2</v>
      </c>
    </row>
    <row r="60" spans="2:15" x14ac:dyDescent="0.25">
      <c r="B60">
        <v>82</v>
      </c>
      <c r="C60">
        <v>22</v>
      </c>
      <c r="D60">
        <v>22</v>
      </c>
      <c r="E60">
        <v>124</v>
      </c>
      <c r="F60">
        <v>6</v>
      </c>
      <c r="G60">
        <v>4</v>
      </c>
      <c r="H60">
        <v>37</v>
      </c>
      <c r="I60">
        <v>1</v>
      </c>
      <c r="J60">
        <v>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33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AVERAGE(Table15[Newtonsoft (duration)]) - J38</f>
        <v>184.33333333333334</v>
      </c>
      <c r="D38" s="2">
        <f>AVERAGE(Table15[.NET baked full (duration)]) - J38</f>
        <v>113.66666666666666</v>
      </c>
      <c r="E38" s="2">
        <f>AVERAGE(Table15[.NET baked minimal (duration)]) - J38</f>
        <v>114</v>
      </c>
      <c r="F38" s="2">
        <f>AVERAGE(Table15[Jackson (duration)]) - J39</f>
        <v>170.33333333333334</v>
      </c>
      <c r="G38" s="2">
        <f>AVERAGE(Table15[JVM baked full (duration)]) - J39</f>
        <v>76.333333333333329</v>
      </c>
      <c r="H38" s="2">
        <f>AVERAGE(Table15[JVM baked minimal (duration)]) - J39</f>
        <v>77</v>
      </c>
      <c r="I38" s="2">
        <f>AVERAGE(Table15[Protobuf.NET (duration)]) - J38</f>
        <v>62.666666666666664</v>
      </c>
      <c r="J38" s="2">
        <f>AVERAGE(Table16[.NET (instance only)])</f>
        <v>13.666666666666666</v>
      </c>
      <c r="K38" s="2">
        <f>AVERAGE(Table16[JVM (instance only)])</f>
        <v>25.333333333333332</v>
      </c>
    </row>
    <row r="39" spans="2:11" x14ac:dyDescent="0.25">
      <c r="B39" t="s">
        <v>3</v>
      </c>
      <c r="C39" s="2">
        <f>C40-C38</f>
        <v>344</v>
      </c>
      <c r="D39" s="2">
        <f t="shared" ref="D39:I39" si="0">D40-D38</f>
        <v>79.666666666666686</v>
      </c>
      <c r="E39" s="2">
        <f t="shared" si="0"/>
        <v>84.333333333333343</v>
      </c>
      <c r="F39" s="2">
        <f t="shared" ref="F39:H39" si="1">F40-F38</f>
        <v>163.66666666666666</v>
      </c>
      <c r="G39" s="2">
        <f t="shared" si="1"/>
        <v>52.000000000000014</v>
      </c>
      <c r="H39" s="2">
        <f t="shared" si="1"/>
        <v>51.666666666666657</v>
      </c>
      <c r="I39" s="2">
        <f t="shared" si="0"/>
        <v>79.333333333333343</v>
      </c>
      <c r="J39" s="2"/>
      <c r="K39" s="2"/>
    </row>
    <row r="40" spans="2:11" x14ac:dyDescent="0.25">
      <c r="B40" t="s">
        <v>1</v>
      </c>
      <c r="C40" s="2">
        <f>AVERAGE(Table16[Newtonsoft (duration)]) - J38</f>
        <v>528.33333333333337</v>
      </c>
      <c r="D40" s="2">
        <f>AVERAGE(Table16[.NET baked full (duration)]) - J38</f>
        <v>193.33333333333334</v>
      </c>
      <c r="E40" s="2">
        <f>AVERAGE(Table16[.NET baked minimal (duration)]) - J38</f>
        <v>198.33333333333334</v>
      </c>
      <c r="F40" s="2">
        <f>AVERAGE(Table16[Jackson (duration)]) - J39</f>
        <v>334</v>
      </c>
      <c r="G40" s="2">
        <f>AVERAGE(Table16[JVM baked full (duration)]) - J39</f>
        <v>128.33333333333334</v>
      </c>
      <c r="H40" s="2">
        <f>AVERAGE(Table16[JVM baked minimal (duration)]) - J39</f>
        <v>128.66666666666666</v>
      </c>
      <c r="I40" s="2">
        <f>AVERAGE(Table16[Protobuf.NET (duration)]) - J38</f>
        <v>142</v>
      </c>
      <c r="J40" s="2"/>
      <c r="K40" s="2"/>
    </row>
    <row r="41" spans="2:11" x14ac:dyDescent="0.25">
      <c r="B41" t="s">
        <v>8</v>
      </c>
      <c r="C41" s="3">
        <f>AVERAGE(Table15[Newtonsoft (size)])</f>
        <v>4777768</v>
      </c>
      <c r="D41" s="3">
        <f>AVERAGE(Table15[.NET baked full (size)])</f>
        <v>4777780</v>
      </c>
      <c r="E41" s="3">
        <f>AVERAGE(Table15[.NET baked minimal (size)])</f>
        <v>4777768</v>
      </c>
      <c r="F41" s="3">
        <f>AVERAGE(Table15[Jackson (size)])</f>
        <v>4777780</v>
      </c>
      <c r="G41" s="3">
        <f>AVERAGE(Table15[JVM baked full (size)])</f>
        <v>4777780</v>
      </c>
      <c r="H41" s="3">
        <f>AVERAGE(Table15[JVM baked minimal (size)])</f>
        <v>4777768</v>
      </c>
      <c r="I41" s="3">
        <f>AVERAGE(Table15[Protobuf.NET (size)])</f>
        <v>2372376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DEVSQ(Table15[Newtonsoft (duration)])</f>
        <v>18</v>
      </c>
      <c r="D46" s="2">
        <f>DEVSQ(Table15[.NET baked full (duration)])</f>
        <v>0.66666666666666663</v>
      </c>
      <c r="E46" s="2">
        <f>DEVSQ(Table15[.NET baked minimal (duration)])</f>
        <v>4.666666666666667</v>
      </c>
      <c r="F46" s="2">
        <f>DEVSQ(Table15[Jackson (duration)])</f>
        <v>8.6666666666666679</v>
      </c>
      <c r="G46" s="2">
        <f>DEVSQ(Table15[JVM baked full (duration)])</f>
        <v>0.66666666666666663</v>
      </c>
      <c r="H46" s="2">
        <f>DEVSQ(Table15[JVM baked minimal (duration)])</f>
        <v>2</v>
      </c>
      <c r="I46" s="2">
        <f>DEVSQ(Table15[Protobuf.NET (duration)])</f>
        <v>32.666666666666664</v>
      </c>
    </row>
    <row r="47" spans="2:11" x14ac:dyDescent="0.25">
      <c r="B47" t="s">
        <v>1</v>
      </c>
      <c r="C47" s="2">
        <f>DEVSQ(Table16[Newtonsoft (duration)])</f>
        <v>650</v>
      </c>
      <c r="D47" s="2">
        <f>DEVSQ(Table16[.NET baked full (duration)])</f>
        <v>14</v>
      </c>
      <c r="E47" s="2">
        <f>DEVSQ(Table16[.NET baked minimal (duration)])</f>
        <v>2</v>
      </c>
      <c r="F47" s="2">
        <f>DEVSQ(Table16[Jackson (duration)])</f>
        <v>162</v>
      </c>
      <c r="G47" s="2">
        <f>DEVSQ(Table16[JVM baked full (duration)])</f>
        <v>8.6666666666666679</v>
      </c>
      <c r="H47" s="2">
        <f>DEVSQ(Table16[JVM baked minimal (duration)])</f>
        <v>8.6666666666666679</v>
      </c>
      <c r="I47" s="2">
        <f>DEVSQ(Table16[Protobuf.NET (duration)])</f>
        <v>12.666666666666668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201</v>
      </c>
      <c r="C52">
        <v>4777768</v>
      </c>
      <c r="D52">
        <v>127</v>
      </c>
      <c r="E52">
        <v>4777780</v>
      </c>
      <c r="F52">
        <v>126</v>
      </c>
      <c r="G52">
        <v>4777768</v>
      </c>
      <c r="H52">
        <v>171</v>
      </c>
      <c r="I52">
        <v>4777780</v>
      </c>
      <c r="J52">
        <v>76</v>
      </c>
      <c r="K52">
        <v>4777780</v>
      </c>
      <c r="L52">
        <v>76</v>
      </c>
      <c r="M52">
        <v>4777768</v>
      </c>
      <c r="N52">
        <v>81</v>
      </c>
      <c r="O52">
        <v>2372376</v>
      </c>
    </row>
    <row r="53" spans="2:15" x14ac:dyDescent="0.25">
      <c r="B53">
        <v>195</v>
      </c>
      <c r="C53">
        <v>4777768</v>
      </c>
      <c r="D53">
        <v>127</v>
      </c>
      <c r="E53">
        <v>4777780</v>
      </c>
      <c r="F53">
        <v>128</v>
      </c>
      <c r="G53">
        <v>4777768</v>
      </c>
      <c r="H53">
        <v>168</v>
      </c>
      <c r="I53">
        <v>4777780</v>
      </c>
      <c r="J53">
        <v>76</v>
      </c>
      <c r="K53">
        <v>4777780</v>
      </c>
      <c r="L53">
        <v>77</v>
      </c>
      <c r="M53">
        <v>4777768</v>
      </c>
      <c r="N53">
        <v>74</v>
      </c>
      <c r="O53">
        <v>2372376</v>
      </c>
    </row>
    <row r="54" spans="2:15" x14ac:dyDescent="0.25">
      <c r="B54">
        <v>198</v>
      </c>
      <c r="C54">
        <v>4777768</v>
      </c>
      <c r="D54">
        <v>128</v>
      </c>
      <c r="E54">
        <v>4777780</v>
      </c>
      <c r="F54">
        <v>129</v>
      </c>
      <c r="G54">
        <v>4777768</v>
      </c>
      <c r="H54">
        <v>172</v>
      </c>
      <c r="I54">
        <v>4777780</v>
      </c>
      <c r="J54">
        <v>77</v>
      </c>
      <c r="K54">
        <v>4777780</v>
      </c>
      <c r="L54">
        <v>78</v>
      </c>
      <c r="M54">
        <v>4777768</v>
      </c>
      <c r="N54">
        <v>74</v>
      </c>
      <c r="O54">
        <v>2372376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522</v>
      </c>
      <c r="C58">
        <v>204</v>
      </c>
      <c r="D58">
        <v>212</v>
      </c>
      <c r="E58">
        <v>325</v>
      </c>
      <c r="F58">
        <v>129</v>
      </c>
      <c r="G58">
        <v>131</v>
      </c>
      <c r="H58">
        <v>156</v>
      </c>
      <c r="I58">
        <v>14</v>
      </c>
      <c r="J58">
        <v>25</v>
      </c>
    </row>
    <row r="59" spans="2:15" x14ac:dyDescent="0.25">
      <c r="B59">
        <v>547</v>
      </c>
      <c r="C59">
        <v>209</v>
      </c>
      <c r="D59">
        <v>211</v>
      </c>
      <c r="E59">
        <v>334</v>
      </c>
      <c r="F59">
        <v>126</v>
      </c>
      <c r="G59">
        <v>127</v>
      </c>
      <c r="H59">
        <v>158</v>
      </c>
      <c r="I59">
        <v>13</v>
      </c>
      <c r="J59">
        <v>26</v>
      </c>
    </row>
    <row r="60" spans="2:15" x14ac:dyDescent="0.25">
      <c r="B60">
        <v>557</v>
      </c>
      <c r="C60">
        <v>208</v>
      </c>
      <c r="D60">
        <v>213</v>
      </c>
      <c r="E60">
        <v>343</v>
      </c>
      <c r="F60">
        <v>130</v>
      </c>
      <c r="G60">
        <v>128</v>
      </c>
      <c r="H60">
        <v>153</v>
      </c>
      <c r="I60">
        <v>14</v>
      </c>
      <c r="J60">
        <v>25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34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AVERAGE(Table19[Newtonsoft (duration)]) - J38</f>
        <v>1415</v>
      </c>
      <c r="D38" s="2">
        <f>AVERAGE(Table19[.NET baked full (duration)]) - J38</f>
        <v>1230</v>
      </c>
      <c r="E38" s="2">
        <f>AVERAGE(Table19[.NET baked minimal (duration)]) - J38</f>
        <v>1201</v>
      </c>
      <c r="F38" s="2">
        <f>AVERAGE(Table19[Jackson (duration)]) - J39</f>
        <v>452.33333333333331</v>
      </c>
      <c r="G38" s="2">
        <f>AVERAGE(Table19[JVM baked full (duration)]) - J39</f>
        <v>271</v>
      </c>
      <c r="H38" s="2">
        <f>AVERAGE(Table19[JVM baked minimal (duration)]) - J39</f>
        <v>272.66666666666669</v>
      </c>
      <c r="I38" s="2">
        <f>AVERAGE(Table19[Protobuf.NET (duration)]) - J38</f>
        <v>412</v>
      </c>
      <c r="J38" s="2">
        <f>AVERAGE(Table20[.NET (instance only)])</f>
        <v>132.33333333333334</v>
      </c>
      <c r="K38" s="2">
        <f>AVERAGE(Table20[JVM (instance only)])</f>
        <v>59.333333333333336</v>
      </c>
    </row>
    <row r="39" spans="2:11" x14ac:dyDescent="0.25">
      <c r="B39" t="s">
        <v>3</v>
      </c>
      <c r="C39" s="2">
        <f>C40-C38</f>
        <v>3152</v>
      </c>
      <c r="D39" s="2">
        <f t="shared" ref="D39:I39" si="0">D40-D38</f>
        <v>772.00000000000023</v>
      </c>
      <c r="E39" s="2">
        <f t="shared" si="0"/>
        <v>773.00000000000023</v>
      </c>
      <c r="F39" s="2">
        <f t="shared" ref="F39:H39" si="1">F40-F38</f>
        <v>464.33333333333331</v>
      </c>
      <c r="G39" s="2">
        <f t="shared" si="1"/>
        <v>222.33333333333331</v>
      </c>
      <c r="H39" s="2">
        <f t="shared" si="1"/>
        <v>213</v>
      </c>
      <c r="I39" s="2">
        <f t="shared" si="0"/>
        <v>846</v>
      </c>
      <c r="J39" s="2"/>
      <c r="K39" s="2"/>
    </row>
    <row r="40" spans="2:11" x14ac:dyDescent="0.25">
      <c r="B40" t="s">
        <v>1</v>
      </c>
      <c r="C40" s="2">
        <f>AVERAGE(Table20[Newtonsoft (duration)]) - J38</f>
        <v>4567</v>
      </c>
      <c r="D40" s="2">
        <f>AVERAGE(Table20[.NET baked full (duration)]) - J38</f>
        <v>2002.0000000000002</v>
      </c>
      <c r="E40" s="2">
        <f>AVERAGE(Table20[.NET baked minimal (duration)]) - J38</f>
        <v>1974.0000000000002</v>
      </c>
      <c r="F40" s="2">
        <f>AVERAGE(Table20[Jackson (duration)]) - J39</f>
        <v>916.66666666666663</v>
      </c>
      <c r="G40" s="2">
        <f>AVERAGE(Table20[JVM baked full (duration)]) - J39</f>
        <v>493.33333333333331</v>
      </c>
      <c r="H40" s="2">
        <f>AVERAGE(Table20[JVM baked minimal (duration)]) - J39</f>
        <v>485.66666666666669</v>
      </c>
      <c r="I40" s="2">
        <f>AVERAGE(Table20[Protobuf.NET (duration)]) - J38</f>
        <v>1258</v>
      </c>
      <c r="J40" s="2"/>
      <c r="K40" s="2"/>
    </row>
    <row r="41" spans="2:11" x14ac:dyDescent="0.25">
      <c r="B41" t="s">
        <v>8</v>
      </c>
      <c r="C41" s="3">
        <f>AVERAGE(Table19[Newtonsoft (size)])</f>
        <v>49777768</v>
      </c>
      <c r="D41" s="3">
        <f>AVERAGE(Table19[.NET baked full (size)])</f>
        <v>49777780</v>
      </c>
      <c r="E41" s="3">
        <f>AVERAGE(Table19[.NET baked minimal (size)])</f>
        <v>49777768</v>
      </c>
      <c r="F41" s="3">
        <f>AVERAGE(Table19[Jackson (size)])</f>
        <v>49777780</v>
      </c>
      <c r="G41" s="3">
        <f>AVERAGE(Table19[JVM baked full (size)])</f>
        <v>49777780</v>
      </c>
      <c r="H41" s="3">
        <f>AVERAGE(Table19[JVM baked minimal (size)])</f>
        <v>49777768</v>
      </c>
      <c r="I41" s="3">
        <f>AVERAGE(Table19[Protobuf.NET (size)])</f>
        <v>24872376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DEVSQ(Table19[Newtonsoft (duration)])</f>
        <v>5660.6666666666661</v>
      </c>
      <c r="D46" s="2">
        <f>DEVSQ(Table19[.NET baked full (duration)])</f>
        <v>3012.666666666667</v>
      </c>
      <c r="E46" s="2">
        <f>DEVSQ(Table19[.NET baked minimal (duration)])</f>
        <v>580.66666666666674</v>
      </c>
      <c r="F46" s="2">
        <f>DEVSQ(Table19[Jackson (duration)])</f>
        <v>588.66666666666663</v>
      </c>
      <c r="G46" s="2">
        <f>DEVSQ(Table19[JVM baked full (duration)])</f>
        <v>54</v>
      </c>
      <c r="H46" s="2">
        <f>DEVSQ(Table19[JVM baked minimal (duration)])</f>
        <v>28.666666666666671</v>
      </c>
      <c r="I46" s="2">
        <f>DEVSQ(Table19[Protobuf.NET (duration)])</f>
        <v>648.66666666666674</v>
      </c>
    </row>
    <row r="47" spans="2:11" x14ac:dyDescent="0.25">
      <c r="B47" t="s">
        <v>1</v>
      </c>
      <c r="C47" s="2">
        <f>DEVSQ(Table20[Newtonsoft (duration)])</f>
        <v>47464.666666666672</v>
      </c>
      <c r="D47" s="2">
        <f>DEVSQ(Table20[.NET baked full (duration)])</f>
        <v>4364.666666666667</v>
      </c>
      <c r="E47" s="2">
        <f>DEVSQ(Table20[.NET baked minimal (duration)])</f>
        <v>32.666666666666671</v>
      </c>
      <c r="F47" s="2">
        <f>DEVSQ(Table20[Jackson (duration)])</f>
        <v>1228.6666666666665</v>
      </c>
      <c r="G47" s="2">
        <f>DEVSQ(Table20[JVM baked full (duration)])</f>
        <v>144.66666666666669</v>
      </c>
      <c r="H47" s="2">
        <f>DEVSQ(Table20[JVM baked minimal (duration)])</f>
        <v>10.666666666666666</v>
      </c>
      <c r="I47" s="2">
        <f>DEVSQ(Table20[Protobuf.NET (duration)])</f>
        <v>1490.6666666666667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1581</v>
      </c>
      <c r="C52">
        <v>49777768</v>
      </c>
      <c r="D52">
        <v>1368</v>
      </c>
      <c r="E52">
        <v>49777780</v>
      </c>
      <c r="F52">
        <v>1324</v>
      </c>
      <c r="G52">
        <v>49777768</v>
      </c>
      <c r="H52">
        <v>434</v>
      </c>
      <c r="I52">
        <v>49777780</v>
      </c>
      <c r="J52">
        <v>268</v>
      </c>
      <c r="K52">
        <v>49777780</v>
      </c>
      <c r="L52">
        <v>271</v>
      </c>
      <c r="M52">
        <v>49777768</v>
      </c>
      <c r="N52">
        <v>565</v>
      </c>
      <c r="O52">
        <v>24872376</v>
      </c>
    </row>
    <row r="53" spans="2:15" x14ac:dyDescent="0.25">
      <c r="B53">
        <v>1575</v>
      </c>
      <c r="C53">
        <v>49777768</v>
      </c>
      <c r="D53">
        <v>1398</v>
      </c>
      <c r="E53">
        <v>49777780</v>
      </c>
      <c r="F53">
        <v>1323</v>
      </c>
      <c r="G53">
        <v>49777768</v>
      </c>
      <c r="H53">
        <v>455</v>
      </c>
      <c r="I53">
        <v>49777780</v>
      </c>
      <c r="J53">
        <v>268</v>
      </c>
      <c r="K53">
        <v>49777780</v>
      </c>
      <c r="L53">
        <v>277</v>
      </c>
      <c r="M53">
        <v>49777768</v>
      </c>
      <c r="N53">
        <v>532</v>
      </c>
      <c r="O53">
        <v>24872376</v>
      </c>
    </row>
    <row r="54" spans="2:15" x14ac:dyDescent="0.25">
      <c r="B54">
        <v>1486</v>
      </c>
      <c r="C54">
        <v>49777768</v>
      </c>
      <c r="D54">
        <v>1321</v>
      </c>
      <c r="E54">
        <v>49777780</v>
      </c>
      <c r="F54">
        <v>1353</v>
      </c>
      <c r="G54">
        <v>49777768</v>
      </c>
      <c r="H54">
        <v>468</v>
      </c>
      <c r="I54">
        <v>49777780</v>
      </c>
      <c r="J54">
        <v>277</v>
      </c>
      <c r="K54">
        <v>49777780</v>
      </c>
      <c r="L54">
        <v>270</v>
      </c>
      <c r="M54">
        <v>49777768</v>
      </c>
      <c r="N54">
        <v>536</v>
      </c>
      <c r="O54">
        <v>24872376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4813</v>
      </c>
      <c r="C58">
        <v>2081</v>
      </c>
      <c r="D58">
        <v>2111</v>
      </c>
      <c r="E58">
        <v>890</v>
      </c>
      <c r="F58">
        <v>490</v>
      </c>
      <c r="G58">
        <v>487</v>
      </c>
      <c r="H58">
        <v>1403</v>
      </c>
      <c r="I58">
        <v>131</v>
      </c>
      <c r="J58">
        <v>59</v>
      </c>
    </row>
    <row r="59" spans="2:15" x14ac:dyDescent="0.25">
      <c r="B59">
        <v>4524</v>
      </c>
      <c r="C59">
        <v>2154</v>
      </c>
      <c r="D59">
        <v>2104</v>
      </c>
      <c r="E59">
        <v>921</v>
      </c>
      <c r="F59">
        <v>487</v>
      </c>
      <c r="G59">
        <v>487</v>
      </c>
      <c r="H59">
        <v>1359</v>
      </c>
      <c r="I59">
        <v>134</v>
      </c>
      <c r="J59">
        <v>59</v>
      </c>
    </row>
    <row r="60" spans="2:15" x14ac:dyDescent="0.25">
      <c r="B60">
        <v>4761</v>
      </c>
      <c r="C60">
        <v>2168</v>
      </c>
      <c r="D60">
        <v>2104</v>
      </c>
      <c r="E60">
        <v>939</v>
      </c>
      <c r="F60">
        <v>503</v>
      </c>
      <c r="G60">
        <v>483</v>
      </c>
      <c r="H60">
        <v>1409</v>
      </c>
      <c r="I60">
        <v>132</v>
      </c>
      <c r="J60">
        <v>60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35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AVERAGE(Table23[Newtonsoft (duration)]) - J38</f>
        <v>13659</v>
      </c>
      <c r="D38" s="2">
        <f>AVERAGE(Table23[.NET baked full (duration)]) - J38</f>
        <v>13271.333333333332</v>
      </c>
      <c r="E38" s="2">
        <f>AVERAGE(Table23[.NET baked minimal (duration)]) - J38</f>
        <v>12884</v>
      </c>
      <c r="F38" s="2">
        <f>AVERAGE(Table23[Jackson (duration)]) - J39</f>
        <v>3140.3333333333335</v>
      </c>
      <c r="G38" s="2">
        <f>AVERAGE(Table23[JVM baked full (duration)]) - J39</f>
        <v>2156.3333333333335</v>
      </c>
      <c r="H38" s="2">
        <f>AVERAGE(Table23[JVM baked minimal (duration)]) - J39</f>
        <v>2110</v>
      </c>
      <c r="I38" s="2">
        <f>AVERAGE(Table23[Protobuf.NET (duration)]) - J38</f>
        <v>4012.3333333333339</v>
      </c>
      <c r="J38" s="2">
        <f>AVERAGE(Table24[.NET (instance only)])</f>
        <v>1348.3333333333333</v>
      </c>
      <c r="K38" s="2">
        <f>AVERAGE(Table24[JVM (instance only)])</f>
        <v>353.66666666666669</v>
      </c>
    </row>
    <row r="39" spans="2:11" x14ac:dyDescent="0.25">
      <c r="B39" t="s">
        <v>3</v>
      </c>
      <c r="C39" s="2">
        <f>C40-C38</f>
        <v>30961.333333333328</v>
      </c>
      <c r="D39" s="2">
        <f t="shared" ref="D39:I39" si="0">D40-D38</f>
        <v>7619.6666666666679</v>
      </c>
      <c r="E39" s="2">
        <f t="shared" si="0"/>
        <v>7542.3333333333358</v>
      </c>
      <c r="F39" s="2">
        <f t="shared" ref="F39:H39" si="1">F40-F38</f>
        <v>3471.3333333333335</v>
      </c>
      <c r="G39" s="2">
        <f t="shared" si="1"/>
        <v>1888.6666666666665</v>
      </c>
      <c r="H39" s="2">
        <f t="shared" si="1"/>
        <v>1928.6666666666665</v>
      </c>
      <c r="I39" s="2">
        <f t="shared" si="0"/>
        <v>8061.9999999999982</v>
      </c>
      <c r="J39" s="2"/>
      <c r="K39" s="2"/>
    </row>
    <row r="40" spans="2:11" x14ac:dyDescent="0.25">
      <c r="B40" t="s">
        <v>1</v>
      </c>
      <c r="C40" s="2">
        <f>AVERAGE(Table24[Newtonsoft (duration)]) - J38</f>
        <v>44620.333333333328</v>
      </c>
      <c r="D40" s="2">
        <f>AVERAGE(Table24[.NET baked full (duration)]) - J38</f>
        <v>20891</v>
      </c>
      <c r="E40" s="2">
        <f>AVERAGE(Table24[.NET baked minimal (duration)]) - J38</f>
        <v>20426.333333333336</v>
      </c>
      <c r="F40" s="2">
        <f>AVERAGE(Table24[Jackson (duration)]) - J39</f>
        <v>6611.666666666667</v>
      </c>
      <c r="G40" s="2">
        <f>AVERAGE(Table24[JVM baked full (duration)]) - J39</f>
        <v>4045</v>
      </c>
      <c r="H40" s="2">
        <f>AVERAGE(Table24[JVM baked minimal (duration)]) - J39</f>
        <v>4038.6666666666665</v>
      </c>
      <c r="I40" s="2">
        <f>AVERAGE(Table24[Protobuf.NET (duration)]) - J38</f>
        <v>12074.333333333332</v>
      </c>
      <c r="J40" s="2"/>
      <c r="K40" s="2"/>
    </row>
    <row r="41" spans="2:11" x14ac:dyDescent="0.25">
      <c r="B41" t="s">
        <v>8</v>
      </c>
      <c r="C41" s="3">
        <f>AVERAGE(Table23[Newtonsoft (size)])</f>
        <v>517777768</v>
      </c>
      <c r="D41" s="3">
        <f>AVERAGE(Table23[.NET baked full (size)])</f>
        <v>517777780</v>
      </c>
      <c r="E41" s="3">
        <f>AVERAGE(Table23[.NET baked minimal (size)])</f>
        <v>517777768</v>
      </c>
      <c r="F41" s="3">
        <f>AVERAGE(Table23[Jackson (size)])</f>
        <v>517777780</v>
      </c>
      <c r="G41" s="3">
        <f>AVERAGE(Table23[JVM baked full (size)])</f>
        <v>517777780</v>
      </c>
      <c r="H41" s="3">
        <f>AVERAGE(Table23[JVM baked minimal (size)])</f>
        <v>517777768</v>
      </c>
      <c r="I41" s="3">
        <f>AVERAGE(Table23[Protobuf.NET (size)])</f>
        <v>266775224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DEVSQ(Table23[Newtonsoft (duration)])</f>
        <v>24140.666666666664</v>
      </c>
      <c r="D46" s="2">
        <f>DEVSQ(Table23[.NET baked full (duration)])</f>
        <v>911328.66666666674</v>
      </c>
      <c r="E46" s="2">
        <f>DEVSQ(Table23[.NET baked minimal (duration)])</f>
        <v>8688.6666666666661</v>
      </c>
      <c r="F46" s="2">
        <f>DEVSQ(Table23[Jackson (duration)])</f>
        <v>6314.666666666667</v>
      </c>
      <c r="G46" s="2">
        <f>DEVSQ(Table23[JVM baked full (duration)])</f>
        <v>1528.6666666666665</v>
      </c>
      <c r="H46" s="2">
        <f>DEVSQ(Table23[JVM baked minimal (duration)])</f>
        <v>162</v>
      </c>
      <c r="I46" s="2">
        <f>DEVSQ(Table23[Protobuf.NET (duration)])</f>
        <v>105602.66666666667</v>
      </c>
    </row>
    <row r="47" spans="2:11" x14ac:dyDescent="0.25">
      <c r="B47" t="s">
        <v>1</v>
      </c>
      <c r="C47" s="2">
        <f>DEVSQ(Table24[Newtonsoft (duration)])</f>
        <v>1459008.6666666665</v>
      </c>
      <c r="D47" s="2">
        <f>DEVSQ(Table24[.NET baked full (duration)])</f>
        <v>3089610.6666666665</v>
      </c>
      <c r="E47" s="2">
        <f>DEVSQ(Table24[.NET baked minimal (duration)])</f>
        <v>12172.666666666668</v>
      </c>
      <c r="F47" s="2">
        <f>DEVSQ(Table24[Jackson (duration)])</f>
        <v>6684.6666666666679</v>
      </c>
      <c r="G47" s="2">
        <f>DEVSQ(Table24[JVM baked full (duration)])</f>
        <v>3506</v>
      </c>
      <c r="H47" s="2">
        <f>DEVSQ(Table24[JVM baked minimal (duration)])</f>
        <v>3640.666666666667</v>
      </c>
      <c r="I47" s="2">
        <f>DEVSQ(Table24[Protobuf.NET (duration)])</f>
        <v>36642.666666666672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14970</v>
      </c>
      <c r="C52">
        <v>517777768</v>
      </c>
      <c r="D52">
        <v>14242</v>
      </c>
      <c r="E52">
        <v>517777780</v>
      </c>
      <c r="F52">
        <v>14160</v>
      </c>
      <c r="G52">
        <v>517777768</v>
      </c>
      <c r="H52">
        <v>3087</v>
      </c>
      <c r="I52">
        <v>517777780</v>
      </c>
      <c r="J52">
        <v>2144</v>
      </c>
      <c r="K52">
        <v>517777780</v>
      </c>
      <c r="L52">
        <v>2101</v>
      </c>
      <c r="M52">
        <v>517777768</v>
      </c>
      <c r="N52">
        <v>5626</v>
      </c>
      <c r="O52">
        <v>266775224</v>
      </c>
    </row>
    <row r="53" spans="2:15" x14ac:dyDescent="0.25">
      <c r="B53">
        <v>14921</v>
      </c>
      <c r="C53">
        <v>517777768</v>
      </c>
      <c r="D53">
        <v>14218</v>
      </c>
      <c r="E53">
        <v>517777780</v>
      </c>
      <c r="F53">
        <v>14248</v>
      </c>
      <c r="G53">
        <v>517777768</v>
      </c>
      <c r="H53">
        <v>3199</v>
      </c>
      <c r="I53">
        <v>517777780</v>
      </c>
      <c r="J53">
        <v>2188</v>
      </c>
      <c r="K53">
        <v>517777780</v>
      </c>
      <c r="L53">
        <v>2110</v>
      </c>
      <c r="M53">
        <v>517777768</v>
      </c>
      <c r="N53">
        <v>5228</v>
      </c>
      <c r="O53">
        <v>266775224</v>
      </c>
    </row>
    <row r="54" spans="2:15" x14ac:dyDescent="0.25">
      <c r="B54">
        <v>15131</v>
      </c>
      <c r="C54">
        <v>517777768</v>
      </c>
      <c r="D54">
        <v>15399</v>
      </c>
      <c r="E54">
        <v>517777780</v>
      </c>
      <c r="F54">
        <v>14289</v>
      </c>
      <c r="G54">
        <v>517777768</v>
      </c>
      <c r="H54">
        <v>3135</v>
      </c>
      <c r="I54">
        <v>517777780</v>
      </c>
      <c r="J54">
        <v>2137</v>
      </c>
      <c r="K54">
        <v>517777780</v>
      </c>
      <c r="L54">
        <v>2119</v>
      </c>
      <c r="M54">
        <v>517777768</v>
      </c>
      <c r="N54">
        <v>5228</v>
      </c>
      <c r="O54">
        <v>266775224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46923</v>
      </c>
      <c r="C58">
        <v>21342</v>
      </c>
      <c r="D58">
        <v>21812</v>
      </c>
      <c r="E58">
        <v>6545</v>
      </c>
      <c r="F58">
        <v>4016</v>
      </c>
      <c r="G58">
        <v>3994</v>
      </c>
      <c r="H58">
        <v>13272</v>
      </c>
      <c r="I58">
        <v>1345</v>
      </c>
      <c r="J58">
        <v>354</v>
      </c>
    </row>
    <row r="59" spans="2:15" x14ac:dyDescent="0.25">
      <c r="B59">
        <v>45276</v>
      </c>
      <c r="C59">
        <v>21718</v>
      </c>
      <c r="D59">
        <v>21827</v>
      </c>
      <c r="E59">
        <v>6648</v>
      </c>
      <c r="F59">
        <v>4026</v>
      </c>
      <c r="G59">
        <v>4079</v>
      </c>
      <c r="H59">
        <v>13462</v>
      </c>
      <c r="I59">
        <v>1352</v>
      </c>
      <c r="J59">
        <v>354</v>
      </c>
    </row>
    <row r="60" spans="2:15" x14ac:dyDescent="0.25">
      <c r="B60">
        <v>45707</v>
      </c>
      <c r="C60">
        <v>23658</v>
      </c>
      <c r="D60">
        <v>21685</v>
      </c>
      <c r="E60">
        <v>6642</v>
      </c>
      <c r="F60">
        <v>4093</v>
      </c>
      <c r="G60">
        <v>4043</v>
      </c>
      <c r="H60">
        <v>13534</v>
      </c>
      <c r="I60">
        <v>1348</v>
      </c>
      <c r="J60">
        <v>353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36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AVERAGE(Table27[Newtonsoft (duration)]) - J38</f>
        <v>258</v>
      </c>
      <c r="D38" s="2">
        <f>AVERAGE(Table27[.NET baked full (duration)]) - J38</f>
        <v>107.33333333333334</v>
      </c>
      <c r="E38" s="2">
        <f>AVERAGE(Table27[.NET baked minimal (duration)]) - J38</f>
        <v>97.666666666666671</v>
      </c>
      <c r="F38" s="2">
        <f>AVERAGE(Table27[Jackson (duration)]) - J39</f>
        <v>191.33333333333334</v>
      </c>
      <c r="G38" s="2">
        <f>AVERAGE(Table27[JVM baked full (duration)]) - J39</f>
        <v>158.66666666666666</v>
      </c>
      <c r="H38" s="2">
        <f>AVERAGE(Table27[JVM baked minimal (duration)]) - J39</f>
        <v>158.33333333333334</v>
      </c>
      <c r="I38" s="2">
        <f>AVERAGE(Table27[Protobuf.NET (duration)]) - J38</f>
        <v>49.666666666666671</v>
      </c>
      <c r="J38" s="2">
        <f>AVERAGE(Table28[.NET (instance only)])</f>
        <v>24</v>
      </c>
      <c r="K38" s="2">
        <f>AVERAGE(Table28[JVM (instance only)])</f>
        <v>83.666666666666671</v>
      </c>
    </row>
    <row r="39" spans="2:11" x14ac:dyDescent="0.25">
      <c r="B39" t="s">
        <v>3</v>
      </c>
      <c r="C39" s="2">
        <f>C40-C38</f>
        <v>674.33333333333337</v>
      </c>
      <c r="D39" s="2">
        <f t="shared" ref="D39:I39" si="0">D40-D38</f>
        <v>879.66666666666663</v>
      </c>
      <c r="E39" s="2">
        <f t="shared" si="0"/>
        <v>888.33333333333337</v>
      </c>
      <c r="F39" s="2">
        <f t="shared" ref="F39:H39" si="1">F40-F38</f>
        <v>116.99999999999997</v>
      </c>
      <c r="G39" s="2">
        <f t="shared" si="1"/>
        <v>44.333333333333343</v>
      </c>
      <c r="H39" s="2">
        <f t="shared" si="1"/>
        <v>45.333333333333314</v>
      </c>
      <c r="I39" s="2">
        <f t="shared" si="0"/>
        <v>66.999999999999986</v>
      </c>
      <c r="J39" s="2"/>
      <c r="K39" s="2"/>
    </row>
    <row r="40" spans="2:11" x14ac:dyDescent="0.25">
      <c r="B40" t="s">
        <v>1</v>
      </c>
      <c r="C40" s="2">
        <f>AVERAGE(Table28[Newtonsoft (duration)]) - J38</f>
        <v>932.33333333333337</v>
      </c>
      <c r="D40" s="2">
        <f>AVERAGE(Table28[.NET baked full (duration)]) - J38</f>
        <v>987</v>
      </c>
      <c r="E40" s="2">
        <f>AVERAGE(Table28[.NET baked minimal (duration)]) - J38</f>
        <v>986</v>
      </c>
      <c r="F40" s="2">
        <f>AVERAGE(Table28[Jackson (duration)]) - J39</f>
        <v>308.33333333333331</v>
      </c>
      <c r="G40" s="2">
        <f>AVERAGE(Table28[JVM baked full (duration)]) - J39</f>
        <v>203</v>
      </c>
      <c r="H40" s="2">
        <f>AVERAGE(Table28[JVM baked minimal (duration)]) - J39</f>
        <v>203.66666666666666</v>
      </c>
      <c r="I40" s="2">
        <f>AVERAGE(Table28[Protobuf.NET (duration)]) - J38</f>
        <v>116.66666666666666</v>
      </c>
      <c r="J40" s="2"/>
      <c r="K40" s="2"/>
    </row>
    <row r="41" spans="2:11" x14ac:dyDescent="0.25">
      <c r="B41" t="s">
        <v>8</v>
      </c>
      <c r="C41" s="3">
        <f>AVERAGE(Table27[Newtonsoft (size)])</f>
        <v>5725322</v>
      </c>
      <c r="D41" s="3">
        <f>AVERAGE(Table27[.NET baked full (size)])</f>
        <v>5724943</v>
      </c>
      <c r="E41" s="3">
        <f>AVERAGE(Table27[.NET baked minimal (size)])</f>
        <v>5724926</v>
      </c>
      <c r="F41" s="3">
        <f>AVERAGE(Table27[Jackson (size)])</f>
        <v>4477194</v>
      </c>
      <c r="G41" s="3">
        <f>AVERAGE(Table27[JVM baked full (size)])</f>
        <v>4477190</v>
      </c>
      <c r="H41" s="3">
        <f>AVERAGE(Table27[JVM baked minimal (size)])</f>
        <v>4477173</v>
      </c>
      <c r="I41" s="3">
        <f>AVERAGE(Table27[Protobuf.NET (size)])</f>
        <v>2921810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DEVSQ(Table27[Newtonsoft (duration)])</f>
        <v>206</v>
      </c>
      <c r="D46" s="2">
        <f>DEVSQ(Table27[.NET baked full (duration)])</f>
        <v>580.66666666666663</v>
      </c>
      <c r="E46" s="2">
        <f>DEVSQ(Table27[.NET baked minimal (duration)])</f>
        <v>2.666666666666667</v>
      </c>
      <c r="F46" s="2">
        <f>DEVSQ(Table27[Jackson (duration)])</f>
        <v>242.66666666666666</v>
      </c>
      <c r="G46" s="2">
        <f>DEVSQ(Table27[JVM baked full (duration)])</f>
        <v>60.666666666666657</v>
      </c>
      <c r="H46" s="2">
        <f>DEVSQ(Table27[JVM baked minimal (duration)])</f>
        <v>60.666666666666664</v>
      </c>
      <c r="I46" s="2">
        <f>DEVSQ(Table27[Protobuf.NET (duration)])</f>
        <v>8.6666666666666661</v>
      </c>
    </row>
    <row r="47" spans="2:11" x14ac:dyDescent="0.25">
      <c r="B47" t="s">
        <v>1</v>
      </c>
      <c r="C47" s="2">
        <f>DEVSQ(Table28[Newtonsoft (duration)])</f>
        <v>3368.666666666667</v>
      </c>
      <c r="D47" s="2">
        <f>DEVSQ(Table28[.NET baked full (duration)])</f>
        <v>2</v>
      </c>
      <c r="E47" s="2">
        <f>DEVSQ(Table28[.NET baked minimal (duration)])</f>
        <v>8</v>
      </c>
      <c r="F47" s="2">
        <f>DEVSQ(Table28[Jackson (duration)])</f>
        <v>284.66666666666663</v>
      </c>
      <c r="G47" s="2">
        <f>DEVSQ(Table28[JVM baked full (duration)])</f>
        <v>6</v>
      </c>
      <c r="H47" s="2">
        <f>DEVSQ(Table28[JVM baked minimal (duration)])</f>
        <v>4.6666666666666661</v>
      </c>
      <c r="I47" s="2">
        <f>DEVSQ(Table28[Protobuf.NET (duration)])</f>
        <v>228.66666666666666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293</v>
      </c>
      <c r="C52">
        <v>5725322</v>
      </c>
      <c r="D52">
        <v>122</v>
      </c>
      <c r="E52">
        <v>5724943</v>
      </c>
      <c r="F52">
        <v>123</v>
      </c>
      <c r="G52">
        <v>5724926</v>
      </c>
      <c r="H52">
        <v>184</v>
      </c>
      <c r="I52">
        <v>4477194</v>
      </c>
      <c r="J52">
        <v>155</v>
      </c>
      <c r="K52">
        <v>4477190</v>
      </c>
      <c r="L52">
        <v>162</v>
      </c>
      <c r="M52">
        <v>4477173</v>
      </c>
      <c r="N52">
        <v>76</v>
      </c>
      <c r="O52">
        <v>2921810</v>
      </c>
    </row>
    <row r="53" spans="2:15" x14ac:dyDescent="0.25">
      <c r="B53">
        <v>280</v>
      </c>
      <c r="C53">
        <v>5725322</v>
      </c>
      <c r="D53">
        <v>151</v>
      </c>
      <c r="E53">
        <v>5724943</v>
      </c>
      <c r="F53">
        <v>121</v>
      </c>
      <c r="G53">
        <v>5724926</v>
      </c>
      <c r="H53">
        <v>186</v>
      </c>
      <c r="I53">
        <v>4477194</v>
      </c>
      <c r="J53">
        <v>165</v>
      </c>
      <c r="K53">
        <v>4477190</v>
      </c>
      <c r="L53">
        <v>161</v>
      </c>
      <c r="M53">
        <v>4477173</v>
      </c>
      <c r="N53">
        <v>72</v>
      </c>
      <c r="O53">
        <v>2921810</v>
      </c>
    </row>
    <row r="54" spans="2:15" x14ac:dyDescent="0.25">
      <c r="B54">
        <v>273</v>
      </c>
      <c r="C54">
        <v>5725322</v>
      </c>
      <c r="D54">
        <v>121</v>
      </c>
      <c r="E54">
        <v>5724943</v>
      </c>
      <c r="F54">
        <v>121</v>
      </c>
      <c r="G54">
        <v>5724926</v>
      </c>
      <c r="H54">
        <v>204</v>
      </c>
      <c r="I54">
        <v>4477194</v>
      </c>
      <c r="J54">
        <v>156</v>
      </c>
      <c r="K54">
        <v>4477190</v>
      </c>
      <c r="L54">
        <v>152</v>
      </c>
      <c r="M54">
        <v>4477173</v>
      </c>
      <c r="N54">
        <v>73</v>
      </c>
      <c r="O54">
        <v>2921810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993</v>
      </c>
      <c r="C58">
        <v>1011</v>
      </c>
      <c r="D58">
        <v>1010</v>
      </c>
      <c r="E58">
        <v>300</v>
      </c>
      <c r="F58">
        <v>201</v>
      </c>
      <c r="G58">
        <v>202</v>
      </c>
      <c r="H58">
        <v>153</v>
      </c>
      <c r="I58">
        <v>24</v>
      </c>
      <c r="J58">
        <v>83</v>
      </c>
    </row>
    <row r="59" spans="2:15" x14ac:dyDescent="0.25">
      <c r="B59">
        <v>912</v>
      </c>
      <c r="C59">
        <v>1012</v>
      </c>
      <c r="D59">
        <v>1008</v>
      </c>
      <c r="E59">
        <v>322</v>
      </c>
      <c r="F59">
        <v>204</v>
      </c>
      <c r="G59">
        <v>204</v>
      </c>
      <c r="H59">
        <v>134</v>
      </c>
      <c r="I59">
        <v>24</v>
      </c>
      <c r="J59">
        <v>84</v>
      </c>
    </row>
    <row r="60" spans="2:15" x14ac:dyDescent="0.25">
      <c r="B60">
        <v>964</v>
      </c>
      <c r="C60">
        <v>1010</v>
      </c>
      <c r="D60">
        <v>1012</v>
      </c>
      <c r="E60">
        <v>303</v>
      </c>
      <c r="F60">
        <v>204</v>
      </c>
      <c r="G60">
        <v>205</v>
      </c>
      <c r="H60">
        <v>135</v>
      </c>
      <c r="I60">
        <v>24</v>
      </c>
      <c r="J60">
        <v>84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37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AVERAGE(Table31[Newtonsoft (duration)]) - J38</f>
        <v>2667.6666666666665</v>
      </c>
      <c r="D38" s="2">
        <f>AVERAGE(Table31[.NET baked full (duration)]) - J38</f>
        <v>1088.3333333333333</v>
      </c>
      <c r="E38" s="2">
        <f>AVERAGE(Table31[.NET baked minimal (duration)]) - J38</f>
        <v>989.33333333333326</v>
      </c>
      <c r="F38" s="2">
        <f>AVERAGE(Table31[Jackson (duration)]) - J39</f>
        <v>974</v>
      </c>
      <c r="G38" s="2">
        <f>AVERAGE(Table31[JVM baked full (duration)]) - J39</f>
        <v>779</v>
      </c>
      <c r="H38" s="2">
        <f>AVERAGE(Table31[JVM baked minimal (duration)]) - J39</f>
        <v>791</v>
      </c>
      <c r="I38" s="2">
        <f>AVERAGE(Table31[Protobuf.NET (duration)]) - J38</f>
        <v>461.33333333333337</v>
      </c>
      <c r="J38" s="2">
        <f>AVERAGE(Table32[.NET (instance only)])</f>
        <v>239</v>
      </c>
      <c r="K38" s="2">
        <f>AVERAGE(Table32[JVM (instance only)])</f>
        <v>396.33333333333331</v>
      </c>
    </row>
    <row r="39" spans="2:11" x14ac:dyDescent="0.25">
      <c r="B39" t="s">
        <v>3</v>
      </c>
      <c r="C39" s="2">
        <f>C40-C38</f>
        <v>6941.6666666666679</v>
      </c>
      <c r="D39" s="2">
        <f t="shared" ref="D39:I39" si="0">D40-D38</f>
        <v>8566.6666666666661</v>
      </c>
      <c r="E39" s="2">
        <f t="shared" si="0"/>
        <v>8575.6666666666661</v>
      </c>
      <c r="F39" s="2">
        <f t="shared" ref="F39:H39" si="1">F40-F38</f>
        <v>663.66666666666674</v>
      </c>
      <c r="G39" s="2">
        <f t="shared" si="1"/>
        <v>363.66666666666674</v>
      </c>
      <c r="H39" s="2">
        <f t="shared" si="1"/>
        <v>354.33333333333326</v>
      </c>
      <c r="I39" s="2">
        <f t="shared" si="0"/>
        <v>612.33333333333337</v>
      </c>
      <c r="J39" s="2"/>
      <c r="K39" s="2"/>
    </row>
    <row r="40" spans="2:11" x14ac:dyDescent="0.25">
      <c r="B40" t="s">
        <v>1</v>
      </c>
      <c r="C40" s="2">
        <f>AVERAGE(Table32[Newtonsoft (duration)]) - J38</f>
        <v>9609.3333333333339</v>
      </c>
      <c r="D40" s="2">
        <f>AVERAGE(Table32[.NET baked full (duration)]) - J38</f>
        <v>9655</v>
      </c>
      <c r="E40" s="2">
        <f>AVERAGE(Table32[.NET baked minimal (duration)]) - J38</f>
        <v>9565</v>
      </c>
      <c r="F40" s="2">
        <f>AVERAGE(Table32[Jackson (duration)]) - J39</f>
        <v>1637.6666666666667</v>
      </c>
      <c r="G40" s="2">
        <f>AVERAGE(Table32[JVM baked full (duration)]) - J39</f>
        <v>1142.6666666666667</v>
      </c>
      <c r="H40" s="2">
        <f>AVERAGE(Table32[JVM baked minimal (duration)]) - J39</f>
        <v>1145.3333333333333</v>
      </c>
      <c r="I40" s="2">
        <f>AVERAGE(Table32[Protobuf.NET (duration)]) - J38</f>
        <v>1073.6666666666667</v>
      </c>
      <c r="J40" s="2"/>
      <c r="K40" s="2"/>
    </row>
    <row r="41" spans="2:11" x14ac:dyDescent="0.25">
      <c r="B41" t="s">
        <v>8</v>
      </c>
      <c r="C41" s="3">
        <f>AVERAGE(Table31[Newtonsoft (size)])</f>
        <v>59249265</v>
      </c>
      <c r="D41" s="3">
        <f>AVERAGE(Table31[.NET baked full (size)])</f>
        <v>59245286</v>
      </c>
      <c r="E41" s="3">
        <f>AVERAGE(Table31[.NET baked minimal (size)])</f>
        <v>59245269</v>
      </c>
      <c r="F41" s="3">
        <f>AVERAGE(Table31[Jackson (size)])</f>
        <v>46514394</v>
      </c>
      <c r="G41" s="3">
        <f>AVERAGE(Table31[JVM baked full (size)])</f>
        <v>46514390</v>
      </c>
      <c r="H41" s="3">
        <f>AVERAGE(Table31[JVM baked minimal (size)])</f>
        <v>46514373</v>
      </c>
      <c r="I41" s="3">
        <f>AVERAGE(Table31[Protobuf.NET (size)])</f>
        <v>29374542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DEVSQ(Table31[Newtonsoft (duration)])</f>
        <v>57488.666666666664</v>
      </c>
      <c r="D46" s="2">
        <f>DEVSQ(Table31[.NET baked full (duration)])</f>
        <v>40308.666666666664</v>
      </c>
      <c r="E46" s="2">
        <f>DEVSQ(Table31[.NET baked minimal (duration)])</f>
        <v>120.66666666666666</v>
      </c>
      <c r="F46" s="2">
        <f>DEVSQ(Table31[Jackson (duration)])</f>
        <v>248</v>
      </c>
      <c r="G46" s="2">
        <f>DEVSQ(Table31[JVM baked full (duration)])</f>
        <v>126</v>
      </c>
      <c r="H46" s="2">
        <f>DEVSQ(Table31[JVM baked minimal (duration)])</f>
        <v>8</v>
      </c>
      <c r="I46" s="2">
        <f>DEVSQ(Table31[Protobuf.NET (duration)])</f>
        <v>32.666666666666664</v>
      </c>
    </row>
    <row r="47" spans="2:11" x14ac:dyDescent="0.25">
      <c r="B47" t="s">
        <v>1</v>
      </c>
      <c r="C47" s="2">
        <f>DEVSQ(Table32[Newtonsoft (duration)])</f>
        <v>1125928.6666666665</v>
      </c>
      <c r="D47" s="2">
        <f>DEVSQ(Table32[.NET baked full (duration)])</f>
        <v>1446</v>
      </c>
      <c r="E47" s="2">
        <f>DEVSQ(Table32[.NET baked minimal (duration)])</f>
        <v>93848</v>
      </c>
      <c r="F47" s="2">
        <f>DEVSQ(Table32[Jackson (duration)])</f>
        <v>116.66666666666666</v>
      </c>
      <c r="G47" s="2">
        <f>DEVSQ(Table32[JVM baked full (duration)])</f>
        <v>12.666666666666668</v>
      </c>
      <c r="H47" s="2">
        <f>DEVSQ(Table32[JVM baked minimal (duration)])</f>
        <v>64.666666666666657</v>
      </c>
      <c r="I47" s="2">
        <f>DEVSQ(Table32[Protobuf.NET (duration)])</f>
        <v>66.666666666666657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3074</v>
      </c>
      <c r="C52">
        <v>59249265</v>
      </c>
      <c r="D52">
        <v>1270</v>
      </c>
      <c r="E52">
        <v>59245286</v>
      </c>
      <c r="F52">
        <v>1237</v>
      </c>
      <c r="G52">
        <v>59245269</v>
      </c>
      <c r="H52">
        <v>986</v>
      </c>
      <c r="I52">
        <v>46514394</v>
      </c>
      <c r="J52">
        <v>785</v>
      </c>
      <c r="K52">
        <v>46514390</v>
      </c>
      <c r="L52">
        <v>789</v>
      </c>
      <c r="M52">
        <v>46514373</v>
      </c>
      <c r="N52">
        <v>701</v>
      </c>
      <c r="O52">
        <v>29374542</v>
      </c>
    </row>
    <row r="53" spans="2:15" x14ac:dyDescent="0.25">
      <c r="B53">
        <v>2911</v>
      </c>
      <c r="C53">
        <v>59249265</v>
      </c>
      <c r="D53">
        <v>1489</v>
      </c>
      <c r="E53">
        <v>59245286</v>
      </c>
      <c r="F53">
        <v>1226</v>
      </c>
      <c r="G53">
        <v>59245269</v>
      </c>
      <c r="H53">
        <v>972</v>
      </c>
      <c r="I53">
        <v>46514394</v>
      </c>
      <c r="J53">
        <v>770</v>
      </c>
      <c r="K53">
        <v>46514390</v>
      </c>
      <c r="L53">
        <v>791</v>
      </c>
      <c r="M53">
        <v>46514373</v>
      </c>
      <c r="N53">
        <v>704</v>
      </c>
      <c r="O53">
        <v>29374542</v>
      </c>
    </row>
    <row r="54" spans="2:15" x14ac:dyDescent="0.25">
      <c r="B54">
        <v>2735</v>
      </c>
      <c r="C54">
        <v>59249265</v>
      </c>
      <c r="D54">
        <v>1223</v>
      </c>
      <c r="E54">
        <v>59245286</v>
      </c>
      <c r="F54">
        <v>1222</v>
      </c>
      <c r="G54">
        <v>59245269</v>
      </c>
      <c r="H54">
        <v>964</v>
      </c>
      <c r="I54">
        <v>46514394</v>
      </c>
      <c r="J54">
        <v>782</v>
      </c>
      <c r="K54">
        <v>46514390</v>
      </c>
      <c r="L54">
        <v>793</v>
      </c>
      <c r="M54">
        <v>46514373</v>
      </c>
      <c r="N54">
        <v>696</v>
      </c>
      <c r="O54">
        <v>29374542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9446</v>
      </c>
      <c r="C58">
        <v>9880</v>
      </c>
      <c r="D58">
        <v>9936</v>
      </c>
      <c r="E58">
        <v>1646</v>
      </c>
      <c r="F58">
        <v>1140</v>
      </c>
      <c r="G58">
        <v>1150</v>
      </c>
      <c r="H58">
        <v>1306</v>
      </c>
      <c r="I58">
        <v>238</v>
      </c>
      <c r="J58">
        <v>396</v>
      </c>
    </row>
    <row r="59" spans="2:15" x14ac:dyDescent="0.25">
      <c r="B59">
        <v>9385</v>
      </c>
      <c r="C59">
        <v>9925</v>
      </c>
      <c r="D59">
        <v>9922</v>
      </c>
      <c r="E59">
        <v>1631</v>
      </c>
      <c r="F59">
        <v>1145</v>
      </c>
      <c r="G59">
        <v>1139</v>
      </c>
      <c r="H59">
        <v>1316</v>
      </c>
      <c r="I59">
        <v>238</v>
      </c>
      <c r="J59">
        <v>398</v>
      </c>
    </row>
    <row r="60" spans="2:15" x14ac:dyDescent="0.25">
      <c r="B60">
        <v>10714</v>
      </c>
      <c r="C60">
        <v>9877</v>
      </c>
      <c r="D60">
        <v>9554</v>
      </c>
      <c r="E60">
        <v>1636</v>
      </c>
      <c r="F60">
        <v>1143</v>
      </c>
      <c r="G60">
        <v>1147</v>
      </c>
      <c r="H60">
        <v>1316</v>
      </c>
      <c r="I60">
        <v>241</v>
      </c>
      <c r="J60">
        <v>395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38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AVERAGE(Table35[Newtonsoft (duration)]) - J38</f>
        <v>25441.666666666668</v>
      </c>
      <c r="D38" s="2">
        <f>AVERAGE(Table35[.NET baked full (duration)]) - J38</f>
        <v>10225.666666666666</v>
      </c>
      <c r="E38" s="2">
        <f>AVERAGE(Table35[.NET baked minimal (duration)]) - J38</f>
        <v>9965.3333333333321</v>
      </c>
      <c r="F38" s="2">
        <f>AVERAGE(Table35[Jackson (duration)]) - J39</f>
        <v>8539.3333333333339</v>
      </c>
      <c r="G38" s="2">
        <f>AVERAGE(Table35[JVM baked full (duration)]) - J39</f>
        <v>6829.333333333333</v>
      </c>
      <c r="H38" s="2">
        <f>AVERAGE(Table35[JVM baked minimal (duration)]) - J39</f>
        <v>6776</v>
      </c>
      <c r="I38" s="2">
        <f>AVERAGE(Table35[Protobuf.NET (duration)]) - J38</f>
        <v>4602.6666666666661</v>
      </c>
      <c r="J38" s="2">
        <f>AVERAGE(Table36[.NET (instance only)])</f>
        <v>2366.3333333333335</v>
      </c>
      <c r="K38" s="2">
        <f>AVERAGE(Table36[JVM (instance only)])</f>
        <v>3182</v>
      </c>
    </row>
    <row r="39" spans="2:11" x14ac:dyDescent="0.25">
      <c r="B39" t="s">
        <v>3</v>
      </c>
      <c r="C39" s="2">
        <f>C40-C38</f>
        <v>61077.666666666672</v>
      </c>
      <c r="D39" s="2">
        <f t="shared" ref="D39:I39" si="0">D40-D38</f>
        <v>85947.333333333328</v>
      </c>
      <c r="E39" s="2">
        <f t="shared" si="0"/>
        <v>85932.666666666672</v>
      </c>
      <c r="F39" s="2">
        <f t="shared" ref="F39:H39" si="1">F40-F38</f>
        <v>5868.3333333333321</v>
      </c>
      <c r="G39" s="2">
        <f t="shared" si="1"/>
        <v>3341.333333333333</v>
      </c>
      <c r="H39" s="2">
        <f t="shared" si="1"/>
        <v>3362.3333333333339</v>
      </c>
      <c r="I39" s="2">
        <f t="shared" si="0"/>
        <v>6199.3333333333339</v>
      </c>
      <c r="J39" s="2"/>
      <c r="K39" s="2"/>
    </row>
    <row r="40" spans="2:11" x14ac:dyDescent="0.25">
      <c r="B40" t="s">
        <v>1</v>
      </c>
      <c r="C40" s="2">
        <f>AVERAGE(Table36[Newtonsoft (duration)]) - J38</f>
        <v>86519.333333333343</v>
      </c>
      <c r="D40" s="2">
        <f>AVERAGE(Table36[.NET baked full (duration)]) - J38</f>
        <v>96173</v>
      </c>
      <c r="E40" s="2">
        <f>AVERAGE(Table36[.NET baked minimal (duration)]) - J38</f>
        <v>95898</v>
      </c>
      <c r="F40" s="2">
        <f>AVERAGE(Table36[Jackson (duration)]) - J39</f>
        <v>14407.666666666666</v>
      </c>
      <c r="G40" s="2">
        <f>AVERAGE(Table36[JVM baked full (duration)]) - J39</f>
        <v>10170.666666666666</v>
      </c>
      <c r="H40" s="2">
        <f>AVERAGE(Table36[JVM baked minimal (duration)]) - J39</f>
        <v>10138.333333333334</v>
      </c>
      <c r="I40" s="2">
        <f>AVERAGE(Table36[Protobuf.NET (duration)]) - J38</f>
        <v>10802</v>
      </c>
      <c r="J40" s="2"/>
      <c r="K40" s="2"/>
    </row>
    <row r="41" spans="2:11" x14ac:dyDescent="0.25">
      <c r="B41" t="s">
        <v>8</v>
      </c>
      <c r="C41" s="3">
        <f>AVERAGE(Table35[Newtonsoft (size)])</f>
        <v>612560699</v>
      </c>
      <c r="D41" s="3">
        <f>AVERAGE(Table35[.NET baked full (size)])</f>
        <v>612520720</v>
      </c>
      <c r="E41" s="3">
        <f>AVERAGE(Table35[.NET baked minimal (size)])</f>
        <v>612520703</v>
      </c>
      <c r="F41" s="3">
        <f>AVERAGE(Table35[Jackson (size)])</f>
        <v>471015610</v>
      </c>
      <c r="G41" s="3">
        <f>AVERAGE(Table35[JVM baked full (size)])</f>
        <v>471015606</v>
      </c>
      <c r="H41" s="3">
        <f>AVERAGE(Table35[JVM baked minimal (size)])</f>
        <v>471015589</v>
      </c>
      <c r="I41" s="3">
        <f>AVERAGE(Table35[Protobuf.NET (size)])</f>
        <v>301846216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DEVSQ(Table35[Newtonsoft (duration)])</f>
        <v>67256</v>
      </c>
      <c r="D46" s="2">
        <f>DEVSQ(Table35[.NET baked full (duration)])</f>
        <v>129902</v>
      </c>
      <c r="E46" s="2">
        <f>DEVSQ(Table35[.NET baked minimal (duration)])</f>
        <v>2004.6666666666667</v>
      </c>
      <c r="F46" s="2">
        <f>DEVSQ(Table35[Jackson (duration)])</f>
        <v>9024.6666666666661</v>
      </c>
      <c r="G46" s="2">
        <f>DEVSQ(Table35[JVM baked full (duration)])</f>
        <v>370.66666666666669</v>
      </c>
      <c r="H46" s="2">
        <f>DEVSQ(Table35[JVM baked minimal (duration)])</f>
        <v>2094</v>
      </c>
      <c r="I46" s="2">
        <f>DEVSQ(Table35[Protobuf.NET (duration)])</f>
        <v>42</v>
      </c>
    </row>
    <row r="47" spans="2:11" x14ac:dyDescent="0.25">
      <c r="B47" t="s">
        <v>1</v>
      </c>
      <c r="C47" s="2">
        <f>DEVSQ(Table36[Newtonsoft (duration)])</f>
        <v>2051114.666666667</v>
      </c>
      <c r="D47" s="2">
        <f>DEVSQ(Table36[.NET baked full (duration)])</f>
        <v>3758128.6666666665</v>
      </c>
      <c r="E47" s="2">
        <f>DEVSQ(Table36[.NET baked minimal (duration)])</f>
        <v>1339842.6666666667</v>
      </c>
      <c r="F47" s="2">
        <f>DEVSQ(Table36[Jackson (duration)])</f>
        <v>6052.6666666666661</v>
      </c>
      <c r="G47" s="2">
        <f>DEVSQ(Table36[JVM baked full (duration)])</f>
        <v>10152.666666666666</v>
      </c>
      <c r="H47" s="2">
        <f>DEVSQ(Table36[JVM baked minimal (duration)])</f>
        <v>6220.6666666666661</v>
      </c>
      <c r="I47" s="2">
        <f>DEVSQ(Table36[Protobuf.NET (duration)])</f>
        <v>33252.666666666664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27964</v>
      </c>
      <c r="C52">
        <v>612560699</v>
      </c>
      <c r="D52">
        <v>12386</v>
      </c>
      <c r="E52">
        <v>612520720</v>
      </c>
      <c r="F52">
        <v>12317</v>
      </c>
      <c r="G52">
        <v>612520703</v>
      </c>
      <c r="H52">
        <v>8561</v>
      </c>
      <c r="I52">
        <v>471015610</v>
      </c>
      <c r="J52">
        <v>6814</v>
      </c>
      <c r="K52">
        <v>471015606</v>
      </c>
      <c r="L52">
        <v>6762</v>
      </c>
      <c r="M52">
        <v>471015589</v>
      </c>
      <c r="N52">
        <v>6974</v>
      </c>
      <c r="O52">
        <v>301846216</v>
      </c>
    </row>
    <row r="53" spans="2:15" x14ac:dyDescent="0.25">
      <c r="B53">
        <v>27606</v>
      </c>
      <c r="C53">
        <v>612560699</v>
      </c>
      <c r="D53">
        <v>12513</v>
      </c>
      <c r="E53">
        <v>612520720</v>
      </c>
      <c r="F53">
        <v>12368</v>
      </c>
      <c r="G53">
        <v>612520703</v>
      </c>
      <c r="H53">
        <v>8593</v>
      </c>
      <c r="I53">
        <v>471015610</v>
      </c>
      <c r="J53">
        <v>6840</v>
      </c>
      <c r="K53">
        <v>471015606</v>
      </c>
      <c r="L53">
        <v>6753</v>
      </c>
      <c r="M53">
        <v>471015589</v>
      </c>
      <c r="N53">
        <v>6965</v>
      </c>
      <c r="O53">
        <v>301846216</v>
      </c>
    </row>
    <row r="54" spans="2:15" x14ac:dyDescent="0.25">
      <c r="B54">
        <v>27854</v>
      </c>
      <c r="C54">
        <v>612560699</v>
      </c>
      <c r="D54">
        <v>12877</v>
      </c>
      <c r="E54">
        <v>612520720</v>
      </c>
      <c r="F54">
        <v>12310</v>
      </c>
      <c r="G54">
        <v>612520703</v>
      </c>
      <c r="H54">
        <v>8464</v>
      </c>
      <c r="I54">
        <v>471015610</v>
      </c>
      <c r="J54">
        <v>6834</v>
      </c>
      <c r="K54">
        <v>471015606</v>
      </c>
      <c r="L54">
        <v>6813</v>
      </c>
      <c r="M54">
        <v>471015589</v>
      </c>
      <c r="N54">
        <v>6968</v>
      </c>
      <c r="O54">
        <v>301846216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90051</v>
      </c>
      <c r="C58">
        <v>97677</v>
      </c>
      <c r="D58">
        <v>97767</v>
      </c>
      <c r="E58">
        <v>14345</v>
      </c>
      <c r="F58">
        <v>10093</v>
      </c>
      <c r="G58">
        <v>10149</v>
      </c>
      <c r="H58">
        <v>13111</v>
      </c>
      <c r="I58">
        <v>2367</v>
      </c>
      <c r="J58">
        <v>3195</v>
      </c>
    </row>
    <row r="59" spans="2:15" x14ac:dyDescent="0.25">
      <c r="B59">
        <v>88387</v>
      </c>
      <c r="C59">
        <v>97821</v>
      </c>
      <c r="D59">
        <v>99209</v>
      </c>
      <c r="E59">
        <v>14430</v>
      </c>
      <c r="F59">
        <v>10233</v>
      </c>
      <c r="G59">
        <v>10188</v>
      </c>
      <c r="H59">
        <v>13316</v>
      </c>
      <c r="I59">
        <v>2366</v>
      </c>
      <c r="J59">
        <v>3145</v>
      </c>
    </row>
    <row r="60" spans="2:15" x14ac:dyDescent="0.25">
      <c r="B60">
        <v>88219</v>
      </c>
      <c r="C60">
        <v>100120</v>
      </c>
      <c r="D60">
        <v>97817</v>
      </c>
      <c r="E60">
        <v>14448</v>
      </c>
      <c r="F60">
        <v>10186</v>
      </c>
      <c r="G60">
        <v>10078</v>
      </c>
      <c r="H60">
        <v>13078</v>
      </c>
      <c r="I60">
        <v>2366</v>
      </c>
      <c r="J60">
        <v>3206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Unlicensed version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2014-12-06T06:29:30Z</dcterms:modified>
</cp:coreProperties>
</file>