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 activeTab="1"/>
  </bookViews>
  <sheets>
    <sheet name="Unlicensed version" sheetId="20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  <sheet name="Sheet17" sheetId="17" r:id="rId18"/>
    <sheet name="Sheet18" sheetId="18" r:id="rId19"/>
    <sheet name="Sheet19" sheetId="19" r:id="rId20"/>
  </sheets>
  <calcPr calcId="145621"/>
</workbook>
</file>

<file path=xl/calcChain.xml><?xml version="1.0" encoding="utf-8"?>
<calcChain xmlns="http://schemas.openxmlformats.org/spreadsheetml/2006/main">
  <c r="H40" i="1" l="1"/>
  <c r="H38" i="1"/>
  <c r="G40" i="1"/>
  <c r="G38" i="1"/>
  <c r="F40" i="1"/>
  <c r="F38" i="1"/>
  <c r="K38" i="1" l="1"/>
  <c r="J38" i="1"/>
  <c r="E40" i="1" l="1"/>
  <c r="D40" i="1"/>
  <c r="C40" i="1"/>
  <c r="I40" i="1"/>
  <c r="I38" i="1"/>
  <c r="E38" i="1"/>
  <c r="D38" i="1"/>
  <c r="C38" i="1"/>
  <c r="H41" i="1"/>
  <c r="H46" i="1" l="1"/>
  <c r="G46" i="1"/>
  <c r="E46" i="1"/>
  <c r="D46" i="1"/>
  <c r="D47" i="1"/>
  <c r="E47" i="1"/>
  <c r="F47" i="1"/>
  <c r="G47" i="1"/>
  <c r="H47" i="1"/>
  <c r="I47" i="1"/>
  <c r="C47" i="1"/>
  <c r="I41" i="1" l="1"/>
  <c r="G41" i="1"/>
  <c r="F41" i="1"/>
  <c r="E41" i="1"/>
  <c r="D41" i="1"/>
  <c r="G39" i="1" l="1"/>
  <c r="F39" i="1"/>
  <c r="H39" i="1"/>
  <c r="C41" i="1"/>
  <c r="F46" i="1" l="1"/>
  <c r="I46" i="1"/>
  <c r="C46" i="1"/>
  <c r="I39" i="1" l="1"/>
  <c r="E39" i="1"/>
  <c r="D39" i="1"/>
  <c r="C39" i="1"/>
  <c r="I47" i="19"/>
  <c r="H47" i="19"/>
  <c r="G47" i="19"/>
  <c r="F47" i="19"/>
  <c r="E47" i="19"/>
  <c r="D47" i="19"/>
  <c r="C47" i="19"/>
  <c r="I46" i="19"/>
  <c r="H46" i="19"/>
  <c r="G46" i="19"/>
  <c r="F46" i="19"/>
  <c r="E46" i="19"/>
  <c r="D46" i="19"/>
  <c r="C46" i="19"/>
  <c r="I41" i="19"/>
  <c r="H41" i="19"/>
  <c r="G41" i="19"/>
  <c r="F41" i="19"/>
  <c r="E41" i="19"/>
  <c r="D41" i="19"/>
  <c r="C41" i="19"/>
  <c r="H40" i="19"/>
  <c r="H39" i="19" s="1"/>
  <c r="G40" i="19"/>
  <c r="G39" i="19" s="1"/>
  <c r="F40" i="19"/>
  <c r="E40" i="19"/>
  <c r="D40" i="19"/>
  <c r="D39" i="19" s="1"/>
  <c r="C40" i="19"/>
  <c r="C39" i="19" s="1"/>
  <c r="F39" i="19"/>
  <c r="E39" i="19"/>
  <c r="K38" i="19"/>
  <c r="J38" i="19"/>
  <c r="I40" i="19" s="1"/>
  <c r="H38" i="19"/>
  <c r="G38" i="19"/>
  <c r="F38" i="19"/>
  <c r="E38" i="19"/>
  <c r="D38" i="19"/>
  <c r="C38" i="19"/>
  <c r="I47" i="18"/>
  <c r="H47" i="18"/>
  <c r="G47" i="18"/>
  <c r="F47" i="18"/>
  <c r="E47" i="18"/>
  <c r="D47" i="18"/>
  <c r="C47" i="18"/>
  <c r="I46" i="18"/>
  <c r="H46" i="18"/>
  <c r="G46" i="18"/>
  <c r="F46" i="18"/>
  <c r="E46" i="18"/>
  <c r="D46" i="18"/>
  <c r="C46" i="18"/>
  <c r="I41" i="18"/>
  <c r="H41" i="18"/>
  <c r="G41" i="18"/>
  <c r="F41" i="18"/>
  <c r="E41" i="18"/>
  <c r="D41" i="18"/>
  <c r="C41" i="18"/>
  <c r="H40" i="18"/>
  <c r="H39" i="18" s="1"/>
  <c r="G40" i="18"/>
  <c r="G39" i="18" s="1"/>
  <c r="F40" i="18"/>
  <c r="C40" i="18"/>
  <c r="C39" i="18" s="1"/>
  <c r="F39" i="18"/>
  <c r="K38" i="18"/>
  <c r="J38" i="18"/>
  <c r="E40" i="18" s="1"/>
  <c r="H38" i="18"/>
  <c r="G38" i="18"/>
  <c r="F38" i="18"/>
  <c r="C38" i="18"/>
  <c r="I47" i="17"/>
  <c r="H47" i="17"/>
  <c r="G47" i="17"/>
  <c r="F47" i="17"/>
  <c r="E47" i="17"/>
  <c r="D47" i="17"/>
  <c r="C47" i="17"/>
  <c r="I46" i="17"/>
  <c r="H46" i="17"/>
  <c r="G46" i="17"/>
  <c r="F46" i="17"/>
  <c r="E46" i="17"/>
  <c r="D46" i="17"/>
  <c r="C46" i="17"/>
  <c r="I41" i="17"/>
  <c r="H41" i="17"/>
  <c r="G41" i="17"/>
  <c r="F41" i="17"/>
  <c r="E41" i="17"/>
  <c r="D41" i="17"/>
  <c r="C41" i="17"/>
  <c r="H40" i="17"/>
  <c r="H39" i="17" s="1"/>
  <c r="G40" i="17"/>
  <c r="G39" i="17" s="1"/>
  <c r="F40" i="17"/>
  <c r="E40" i="17"/>
  <c r="D40" i="17"/>
  <c r="D39" i="17" s="1"/>
  <c r="C40" i="17"/>
  <c r="C39" i="17" s="1"/>
  <c r="F39" i="17"/>
  <c r="E39" i="17"/>
  <c r="K38" i="17"/>
  <c r="J38" i="17"/>
  <c r="I40" i="17" s="1"/>
  <c r="H38" i="17"/>
  <c r="G38" i="17"/>
  <c r="F38" i="17"/>
  <c r="E38" i="17"/>
  <c r="D38" i="17"/>
  <c r="C38" i="17"/>
  <c r="I47" i="16"/>
  <c r="H47" i="16"/>
  <c r="G47" i="16"/>
  <c r="F47" i="16"/>
  <c r="E47" i="16"/>
  <c r="D47" i="16"/>
  <c r="C47" i="16"/>
  <c r="I46" i="16"/>
  <c r="H46" i="16"/>
  <c r="G46" i="16"/>
  <c r="F46" i="16"/>
  <c r="E46" i="16"/>
  <c r="D46" i="16"/>
  <c r="C46" i="16"/>
  <c r="I41" i="16"/>
  <c r="H41" i="16"/>
  <c r="G41" i="16"/>
  <c r="F41" i="16"/>
  <c r="E41" i="16"/>
  <c r="D41" i="16"/>
  <c r="C41" i="16"/>
  <c r="H40" i="16"/>
  <c r="H39" i="16" s="1"/>
  <c r="G40" i="16"/>
  <c r="G39" i="16" s="1"/>
  <c r="F40" i="16"/>
  <c r="C40" i="16"/>
  <c r="C39" i="16" s="1"/>
  <c r="F39" i="16"/>
  <c r="K38" i="16"/>
  <c r="J38" i="16"/>
  <c r="E40" i="16" s="1"/>
  <c r="H38" i="16"/>
  <c r="G38" i="16"/>
  <c r="F38" i="16"/>
  <c r="C38" i="16"/>
  <c r="I47" i="15"/>
  <c r="H47" i="15"/>
  <c r="G47" i="15"/>
  <c r="F47" i="15"/>
  <c r="E47" i="15"/>
  <c r="D47" i="15"/>
  <c r="C47" i="15"/>
  <c r="I46" i="15"/>
  <c r="H46" i="15"/>
  <c r="G46" i="15"/>
  <c r="F46" i="15"/>
  <c r="E46" i="15"/>
  <c r="D46" i="15"/>
  <c r="C46" i="15"/>
  <c r="I41" i="15"/>
  <c r="H41" i="15"/>
  <c r="G41" i="15"/>
  <c r="F41" i="15"/>
  <c r="E41" i="15"/>
  <c r="D41" i="15"/>
  <c r="C41" i="15"/>
  <c r="H40" i="15"/>
  <c r="H39" i="15" s="1"/>
  <c r="G40" i="15"/>
  <c r="G39" i="15" s="1"/>
  <c r="F40" i="15"/>
  <c r="E40" i="15"/>
  <c r="D40" i="15"/>
  <c r="D39" i="15" s="1"/>
  <c r="C40" i="15"/>
  <c r="C39" i="15" s="1"/>
  <c r="F39" i="15"/>
  <c r="E39" i="15"/>
  <c r="K38" i="15"/>
  <c r="J38" i="15"/>
  <c r="I40" i="15" s="1"/>
  <c r="H38" i="15"/>
  <c r="G38" i="15"/>
  <c r="F38" i="15"/>
  <c r="E38" i="15"/>
  <c r="D38" i="15"/>
  <c r="C38" i="15"/>
  <c r="I47" i="14"/>
  <c r="H47" i="14"/>
  <c r="G47" i="14"/>
  <c r="F47" i="14"/>
  <c r="E47" i="14"/>
  <c r="D47" i="14"/>
  <c r="C47" i="14"/>
  <c r="I46" i="14"/>
  <c r="H46" i="14"/>
  <c r="G46" i="14"/>
  <c r="F46" i="14"/>
  <c r="E46" i="14"/>
  <c r="D46" i="14"/>
  <c r="C46" i="14"/>
  <c r="I41" i="14"/>
  <c r="H41" i="14"/>
  <c r="G41" i="14"/>
  <c r="F41" i="14"/>
  <c r="E41" i="14"/>
  <c r="D41" i="14"/>
  <c r="C41" i="14"/>
  <c r="H40" i="14"/>
  <c r="H39" i="14" s="1"/>
  <c r="G40" i="14"/>
  <c r="G39" i="14" s="1"/>
  <c r="F40" i="14"/>
  <c r="C40" i="14"/>
  <c r="C39" i="14" s="1"/>
  <c r="F39" i="14"/>
  <c r="K38" i="14"/>
  <c r="J38" i="14"/>
  <c r="E40" i="14" s="1"/>
  <c r="H38" i="14"/>
  <c r="G38" i="14"/>
  <c r="F38" i="14"/>
  <c r="C38" i="14"/>
  <c r="I47" i="13"/>
  <c r="H47" i="13"/>
  <c r="G47" i="13"/>
  <c r="F47" i="13"/>
  <c r="E47" i="13"/>
  <c r="D47" i="13"/>
  <c r="C47" i="13"/>
  <c r="I46" i="13"/>
  <c r="H46" i="13"/>
  <c r="G46" i="13"/>
  <c r="F46" i="13"/>
  <c r="E46" i="13"/>
  <c r="D46" i="13"/>
  <c r="C46" i="13"/>
  <c r="I41" i="13"/>
  <c r="H41" i="13"/>
  <c r="G41" i="13"/>
  <c r="F41" i="13"/>
  <c r="E41" i="13"/>
  <c r="D41" i="13"/>
  <c r="C41" i="13"/>
  <c r="H40" i="13"/>
  <c r="H39" i="13" s="1"/>
  <c r="G40" i="13"/>
  <c r="G39" i="13" s="1"/>
  <c r="F40" i="13"/>
  <c r="E40" i="13"/>
  <c r="E39" i="13" s="1"/>
  <c r="D40" i="13"/>
  <c r="D39" i="13" s="1"/>
  <c r="C40" i="13"/>
  <c r="C39" i="13" s="1"/>
  <c r="F39" i="13"/>
  <c r="K38" i="13"/>
  <c r="J38" i="13"/>
  <c r="I40" i="13" s="1"/>
  <c r="H38" i="13"/>
  <c r="G38" i="13"/>
  <c r="F38" i="13"/>
  <c r="E38" i="13"/>
  <c r="D38" i="13"/>
  <c r="C38" i="13"/>
  <c r="I47" i="12"/>
  <c r="H47" i="12"/>
  <c r="G47" i="12"/>
  <c r="F47" i="12"/>
  <c r="E47" i="12"/>
  <c r="D47" i="12"/>
  <c r="C47" i="12"/>
  <c r="I46" i="12"/>
  <c r="H46" i="12"/>
  <c r="G46" i="12"/>
  <c r="F46" i="12"/>
  <c r="E46" i="12"/>
  <c r="D46" i="12"/>
  <c r="C46" i="12"/>
  <c r="I41" i="12"/>
  <c r="H41" i="12"/>
  <c r="G41" i="12"/>
  <c r="F41" i="12"/>
  <c r="E41" i="12"/>
  <c r="D41" i="12"/>
  <c r="C41" i="12"/>
  <c r="I40" i="12"/>
  <c r="I39" i="12" s="1"/>
  <c r="H40" i="12"/>
  <c r="H39" i="12" s="1"/>
  <c r="G40" i="12"/>
  <c r="G39" i="12" s="1"/>
  <c r="F40" i="12"/>
  <c r="C40" i="12"/>
  <c r="C39" i="12" s="1"/>
  <c r="F39" i="12"/>
  <c r="K38" i="12"/>
  <c r="J38" i="12"/>
  <c r="E40" i="12" s="1"/>
  <c r="I38" i="12"/>
  <c r="H38" i="12"/>
  <c r="G38" i="12"/>
  <c r="F38" i="12"/>
  <c r="C38" i="12"/>
  <c r="I47" i="11"/>
  <c r="H47" i="11"/>
  <c r="G47" i="11"/>
  <c r="F47" i="11"/>
  <c r="E47" i="11"/>
  <c r="D47" i="11"/>
  <c r="C47" i="11"/>
  <c r="I46" i="11"/>
  <c r="H46" i="11"/>
  <c r="G46" i="11"/>
  <c r="F46" i="11"/>
  <c r="E46" i="11"/>
  <c r="D46" i="11"/>
  <c r="C46" i="11"/>
  <c r="I41" i="11"/>
  <c r="H41" i="11"/>
  <c r="G41" i="11"/>
  <c r="F41" i="11"/>
  <c r="E41" i="11"/>
  <c r="D41" i="11"/>
  <c r="C41" i="11"/>
  <c r="H40" i="11"/>
  <c r="H39" i="11" s="1"/>
  <c r="G40" i="11"/>
  <c r="G39" i="11" s="1"/>
  <c r="F40" i="11"/>
  <c r="E40" i="11"/>
  <c r="E39" i="11" s="1"/>
  <c r="D40" i="11"/>
  <c r="D39" i="11" s="1"/>
  <c r="C40" i="11"/>
  <c r="C39" i="11" s="1"/>
  <c r="F39" i="11"/>
  <c r="K38" i="11"/>
  <c r="J38" i="11"/>
  <c r="I40" i="11" s="1"/>
  <c r="H38" i="11"/>
  <c r="G38" i="11"/>
  <c r="F38" i="11"/>
  <c r="E38" i="11"/>
  <c r="D38" i="11"/>
  <c r="C38" i="11"/>
  <c r="I47" i="10"/>
  <c r="H47" i="10"/>
  <c r="G47" i="10"/>
  <c r="F47" i="10"/>
  <c r="E47" i="10"/>
  <c r="D47" i="10"/>
  <c r="C47" i="10"/>
  <c r="I46" i="10"/>
  <c r="H46" i="10"/>
  <c r="G46" i="10"/>
  <c r="F46" i="10"/>
  <c r="E46" i="10"/>
  <c r="D46" i="10"/>
  <c r="C46" i="10"/>
  <c r="I41" i="10"/>
  <c r="H41" i="10"/>
  <c r="G41" i="10"/>
  <c r="F41" i="10"/>
  <c r="E41" i="10"/>
  <c r="D41" i="10"/>
  <c r="C41" i="10"/>
  <c r="I40" i="10"/>
  <c r="I39" i="10" s="1"/>
  <c r="H40" i="10"/>
  <c r="H39" i="10" s="1"/>
  <c r="G40" i="10"/>
  <c r="G39" i="10" s="1"/>
  <c r="F40" i="10"/>
  <c r="C40" i="10"/>
  <c r="C39" i="10" s="1"/>
  <c r="F39" i="10"/>
  <c r="K38" i="10"/>
  <c r="J38" i="10"/>
  <c r="E40" i="10" s="1"/>
  <c r="I38" i="10"/>
  <c r="H38" i="10"/>
  <c r="G38" i="10"/>
  <c r="F38" i="10"/>
  <c r="C38" i="10"/>
  <c r="I47" i="9"/>
  <c r="H47" i="9"/>
  <c r="G47" i="9"/>
  <c r="F47" i="9"/>
  <c r="E47" i="9"/>
  <c r="D47" i="9"/>
  <c r="C47" i="9"/>
  <c r="I46" i="9"/>
  <c r="H46" i="9"/>
  <c r="G46" i="9"/>
  <c r="F46" i="9"/>
  <c r="E46" i="9"/>
  <c r="D46" i="9"/>
  <c r="C46" i="9"/>
  <c r="I41" i="9"/>
  <c r="H41" i="9"/>
  <c r="G41" i="9"/>
  <c r="F41" i="9"/>
  <c r="E41" i="9"/>
  <c r="D41" i="9"/>
  <c r="C41" i="9"/>
  <c r="H40" i="9"/>
  <c r="H39" i="9" s="1"/>
  <c r="G40" i="9"/>
  <c r="G39" i="9" s="1"/>
  <c r="F40" i="9"/>
  <c r="E40" i="9"/>
  <c r="E39" i="9" s="1"/>
  <c r="D40" i="9"/>
  <c r="D39" i="9" s="1"/>
  <c r="C40" i="9"/>
  <c r="C39" i="9" s="1"/>
  <c r="F39" i="9"/>
  <c r="K38" i="9"/>
  <c r="J38" i="9"/>
  <c r="I40" i="9" s="1"/>
  <c r="H38" i="9"/>
  <c r="G38" i="9"/>
  <c r="F38" i="9"/>
  <c r="E38" i="9"/>
  <c r="D38" i="9"/>
  <c r="C38" i="9"/>
  <c r="I47" i="8"/>
  <c r="H47" i="8"/>
  <c r="G47" i="8"/>
  <c r="F47" i="8"/>
  <c r="E47" i="8"/>
  <c r="D47" i="8"/>
  <c r="C47" i="8"/>
  <c r="I46" i="8"/>
  <c r="H46" i="8"/>
  <c r="G46" i="8"/>
  <c r="F46" i="8"/>
  <c r="E46" i="8"/>
  <c r="D46" i="8"/>
  <c r="C46" i="8"/>
  <c r="I41" i="8"/>
  <c r="H41" i="8"/>
  <c r="G41" i="8"/>
  <c r="F41" i="8"/>
  <c r="E41" i="8"/>
  <c r="D41" i="8"/>
  <c r="C41" i="8"/>
  <c r="I40" i="8"/>
  <c r="I39" i="8" s="1"/>
  <c r="H40" i="8"/>
  <c r="H39" i="8" s="1"/>
  <c r="G40" i="8"/>
  <c r="G39" i="8" s="1"/>
  <c r="F40" i="8"/>
  <c r="C40" i="8"/>
  <c r="C39" i="8" s="1"/>
  <c r="F39" i="8"/>
  <c r="K38" i="8"/>
  <c r="J38" i="8"/>
  <c r="E40" i="8" s="1"/>
  <c r="I38" i="8"/>
  <c r="H38" i="8"/>
  <c r="G38" i="8"/>
  <c r="F38" i="8"/>
  <c r="C38" i="8"/>
  <c r="I47" i="7"/>
  <c r="H47" i="7"/>
  <c r="G47" i="7"/>
  <c r="F47" i="7"/>
  <c r="E47" i="7"/>
  <c r="D47" i="7"/>
  <c r="C47" i="7"/>
  <c r="I46" i="7"/>
  <c r="H46" i="7"/>
  <c r="G46" i="7"/>
  <c r="F46" i="7"/>
  <c r="E46" i="7"/>
  <c r="D46" i="7"/>
  <c r="C46" i="7"/>
  <c r="I41" i="7"/>
  <c r="H41" i="7"/>
  <c r="G41" i="7"/>
  <c r="F41" i="7"/>
  <c r="E41" i="7"/>
  <c r="D41" i="7"/>
  <c r="C41" i="7"/>
  <c r="H40" i="7"/>
  <c r="H39" i="7" s="1"/>
  <c r="G40" i="7"/>
  <c r="G39" i="7" s="1"/>
  <c r="F40" i="7"/>
  <c r="E40" i="7"/>
  <c r="E39" i="7" s="1"/>
  <c r="D40" i="7"/>
  <c r="D39" i="7" s="1"/>
  <c r="C40" i="7"/>
  <c r="C39" i="7" s="1"/>
  <c r="F39" i="7"/>
  <c r="K38" i="7"/>
  <c r="J38" i="7"/>
  <c r="I40" i="7" s="1"/>
  <c r="H38" i="7"/>
  <c r="G38" i="7"/>
  <c r="F38" i="7"/>
  <c r="E38" i="7"/>
  <c r="D38" i="7"/>
  <c r="C38" i="7"/>
  <c r="I47" i="6"/>
  <c r="H47" i="6"/>
  <c r="G47" i="6"/>
  <c r="F47" i="6"/>
  <c r="E47" i="6"/>
  <c r="D47" i="6"/>
  <c r="C47" i="6"/>
  <c r="I46" i="6"/>
  <c r="H46" i="6"/>
  <c r="G46" i="6"/>
  <c r="F46" i="6"/>
  <c r="E46" i="6"/>
  <c r="D46" i="6"/>
  <c r="C46" i="6"/>
  <c r="I41" i="6"/>
  <c r="H41" i="6"/>
  <c r="G41" i="6"/>
  <c r="F41" i="6"/>
  <c r="E41" i="6"/>
  <c r="D41" i="6"/>
  <c r="C41" i="6"/>
  <c r="I40" i="6"/>
  <c r="I39" i="6" s="1"/>
  <c r="H40" i="6"/>
  <c r="H39" i="6" s="1"/>
  <c r="G40" i="6"/>
  <c r="G39" i="6" s="1"/>
  <c r="F40" i="6"/>
  <c r="C40" i="6"/>
  <c r="C39" i="6" s="1"/>
  <c r="F39" i="6"/>
  <c r="K38" i="6"/>
  <c r="J38" i="6"/>
  <c r="E40" i="6" s="1"/>
  <c r="I38" i="6"/>
  <c r="H38" i="6"/>
  <c r="G38" i="6"/>
  <c r="F38" i="6"/>
  <c r="C38" i="6"/>
  <c r="I47" i="5"/>
  <c r="H47" i="5"/>
  <c r="G47" i="5"/>
  <c r="F47" i="5"/>
  <c r="E47" i="5"/>
  <c r="D47" i="5"/>
  <c r="C47" i="5"/>
  <c r="I46" i="5"/>
  <c r="H46" i="5"/>
  <c r="G46" i="5"/>
  <c r="F46" i="5"/>
  <c r="E46" i="5"/>
  <c r="D46" i="5"/>
  <c r="C46" i="5"/>
  <c r="I41" i="5"/>
  <c r="H41" i="5"/>
  <c r="G41" i="5"/>
  <c r="F41" i="5"/>
  <c r="E41" i="5"/>
  <c r="D41" i="5"/>
  <c r="C41" i="5"/>
  <c r="H40" i="5"/>
  <c r="H39" i="5" s="1"/>
  <c r="G40" i="5"/>
  <c r="G39" i="5" s="1"/>
  <c r="F40" i="5"/>
  <c r="E40" i="5"/>
  <c r="E39" i="5" s="1"/>
  <c r="D40" i="5"/>
  <c r="D39" i="5" s="1"/>
  <c r="C40" i="5"/>
  <c r="C39" i="5" s="1"/>
  <c r="F39" i="5"/>
  <c r="K38" i="5"/>
  <c r="J38" i="5"/>
  <c r="I40" i="5" s="1"/>
  <c r="H38" i="5"/>
  <c r="G38" i="5"/>
  <c r="F38" i="5"/>
  <c r="E38" i="5"/>
  <c r="D38" i="5"/>
  <c r="C38" i="5"/>
  <c r="I47" i="4"/>
  <c r="H47" i="4"/>
  <c r="G47" i="4"/>
  <c r="F47" i="4"/>
  <c r="E47" i="4"/>
  <c r="D47" i="4"/>
  <c r="C47" i="4"/>
  <c r="I46" i="4"/>
  <c r="H46" i="4"/>
  <c r="G46" i="4"/>
  <c r="F46" i="4"/>
  <c r="E46" i="4"/>
  <c r="D46" i="4"/>
  <c r="C46" i="4"/>
  <c r="I41" i="4"/>
  <c r="H41" i="4"/>
  <c r="G41" i="4"/>
  <c r="F41" i="4"/>
  <c r="E41" i="4"/>
  <c r="D41" i="4"/>
  <c r="C41" i="4"/>
  <c r="I40" i="4"/>
  <c r="I39" i="4" s="1"/>
  <c r="H40" i="4"/>
  <c r="H39" i="4" s="1"/>
  <c r="G40" i="4"/>
  <c r="G39" i="4" s="1"/>
  <c r="F40" i="4"/>
  <c r="C40" i="4"/>
  <c r="C39" i="4" s="1"/>
  <c r="F39" i="4"/>
  <c r="K38" i="4"/>
  <c r="J38" i="4"/>
  <c r="E40" i="4" s="1"/>
  <c r="I38" i="4"/>
  <c r="H38" i="4"/>
  <c r="G38" i="4"/>
  <c r="F38" i="4"/>
  <c r="C38" i="4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1" i="3"/>
  <c r="H41" i="3"/>
  <c r="G41" i="3"/>
  <c r="F41" i="3"/>
  <c r="E41" i="3"/>
  <c r="D41" i="3"/>
  <c r="C41" i="3"/>
  <c r="H40" i="3"/>
  <c r="H39" i="3" s="1"/>
  <c r="G40" i="3"/>
  <c r="G39" i="3" s="1"/>
  <c r="F40" i="3"/>
  <c r="E40" i="3"/>
  <c r="E39" i="3" s="1"/>
  <c r="D40" i="3"/>
  <c r="D39" i="3" s="1"/>
  <c r="C40" i="3"/>
  <c r="C39" i="3" s="1"/>
  <c r="F39" i="3"/>
  <c r="K38" i="3"/>
  <c r="J38" i="3"/>
  <c r="I40" i="3" s="1"/>
  <c r="H38" i="3"/>
  <c r="G38" i="3"/>
  <c r="F38" i="3"/>
  <c r="E38" i="3"/>
  <c r="D38" i="3"/>
  <c r="C38" i="3"/>
  <c r="I47" i="2"/>
  <c r="H47" i="2"/>
  <c r="G47" i="2"/>
  <c r="F47" i="2"/>
  <c r="E47" i="2"/>
  <c r="D47" i="2"/>
  <c r="C47" i="2"/>
  <c r="I46" i="2"/>
  <c r="H46" i="2"/>
  <c r="G46" i="2"/>
  <c r="F46" i="2"/>
  <c r="E46" i="2"/>
  <c r="D46" i="2"/>
  <c r="C46" i="2"/>
  <c r="I41" i="2"/>
  <c r="H41" i="2"/>
  <c r="G41" i="2"/>
  <c r="F41" i="2"/>
  <c r="E41" i="2"/>
  <c r="D41" i="2"/>
  <c r="C41" i="2"/>
  <c r="I40" i="2"/>
  <c r="I39" i="2" s="1"/>
  <c r="H40" i="2"/>
  <c r="G40" i="2"/>
  <c r="G39" i="2" s="1"/>
  <c r="F40" i="2"/>
  <c r="F39" i="2"/>
  <c r="K38" i="2"/>
  <c r="J38" i="2"/>
  <c r="E40" i="2" s="1"/>
  <c r="I38" i="2"/>
  <c r="H38" i="2"/>
  <c r="G38" i="2"/>
  <c r="F38" i="2"/>
  <c r="H39" i="2" l="1"/>
  <c r="E39" i="14"/>
  <c r="I39" i="15"/>
  <c r="I39" i="7"/>
  <c r="E39" i="16"/>
  <c r="E39" i="6"/>
  <c r="E39" i="18"/>
  <c r="E39" i="2"/>
  <c r="I38" i="14"/>
  <c r="I40" i="14"/>
  <c r="I39" i="14" s="1"/>
  <c r="I38" i="16"/>
  <c r="I40" i="16"/>
  <c r="I39" i="16" s="1"/>
  <c r="I38" i="18"/>
  <c r="I40" i="18"/>
  <c r="I39" i="18" s="1"/>
  <c r="C38" i="2"/>
  <c r="C40" i="2"/>
  <c r="C39" i="2" s="1"/>
  <c r="D38" i="2"/>
  <c r="D38" i="4"/>
  <c r="D40" i="4"/>
  <c r="D39" i="4" s="1"/>
  <c r="D38" i="8"/>
  <c r="D40" i="8"/>
  <c r="D39" i="8" s="1"/>
  <c r="D38" i="10"/>
  <c r="D40" i="10"/>
  <c r="D38" i="12"/>
  <c r="D40" i="12"/>
  <c r="D38" i="14"/>
  <c r="D40" i="14"/>
  <c r="D39" i="14" s="1"/>
  <c r="D38" i="16"/>
  <c r="D40" i="16"/>
  <c r="D39" i="16" s="1"/>
  <c r="D38" i="18"/>
  <c r="D40" i="18"/>
  <c r="D40" i="2"/>
  <c r="D39" i="2" s="1"/>
  <c r="D38" i="6"/>
  <c r="D40" i="6"/>
  <c r="D39" i="6" s="1"/>
  <c r="E38" i="2"/>
  <c r="I38" i="3"/>
  <c r="I39" i="3" s="1"/>
  <c r="E38" i="4"/>
  <c r="E39" i="4" s="1"/>
  <c r="I38" i="5"/>
  <c r="I39" i="5" s="1"/>
  <c r="E38" i="6"/>
  <c r="I38" i="7"/>
  <c r="E38" i="8"/>
  <c r="E39" i="8" s="1"/>
  <c r="I38" i="9"/>
  <c r="I39" i="9" s="1"/>
  <c r="E38" i="10"/>
  <c r="E39" i="10" s="1"/>
  <c r="I38" i="11"/>
  <c r="I39" i="11" s="1"/>
  <c r="E38" i="12"/>
  <c r="E39" i="12" s="1"/>
  <c r="I38" i="13"/>
  <c r="I39" i="13" s="1"/>
  <c r="E38" i="14"/>
  <c r="I38" i="15"/>
  <c r="E38" i="16"/>
  <c r="I38" i="17"/>
  <c r="I39" i="17" s="1"/>
  <c r="E38" i="18"/>
  <c r="I38" i="19"/>
  <c r="I39" i="19" s="1"/>
  <c r="D39" i="12" l="1"/>
  <c r="D39" i="18"/>
  <c r="D39" i="10"/>
</calcChain>
</file>

<file path=xl/sharedStrings.xml><?xml version="1.0" encoding="utf-8"?>
<sst xmlns="http://schemas.openxmlformats.org/spreadsheetml/2006/main" count="951" uniqueCount="51">
  <si>
    <t>Serialization</t>
  </si>
  <si>
    <t>Both</t>
  </si>
  <si>
    <t>Newtonsoft.Json</t>
  </si>
  <si>
    <t>Deserialization</t>
  </si>
  <si>
    <t>Serialization data:</t>
  </si>
  <si>
    <t>Average</t>
  </si>
  <si>
    <t>Deviation</t>
  </si>
  <si>
    <t>Serialization and deserialization data:</t>
  </si>
  <si>
    <t>Size</t>
  </si>
  <si>
    <t>Newtonsoft (duration)</t>
  </si>
  <si>
    <t>Newtonsoft (size)</t>
  </si>
  <si>
    <t>Protobuf.NET</t>
  </si>
  <si>
    <t>Jackson</t>
  </si>
  <si>
    <t>JVM baked full</t>
  </si>
  <si>
    <t>JVM baked minimal</t>
  </si>
  <si>
    <t>.Net baked full</t>
  </si>
  <si>
    <t>.Net baked minimal</t>
  </si>
  <si>
    <t>.NET baked full (duration)</t>
  </si>
  <si>
    <t>.NET baked full (size)</t>
  </si>
  <si>
    <t>.NET baked minimal (duration)</t>
  </si>
  <si>
    <t>.NET baked minimal (size)</t>
  </si>
  <si>
    <t>Jackson (duration)</t>
  </si>
  <si>
    <t>Jackson (size)</t>
  </si>
  <si>
    <t>JVM baked full (duration)</t>
  </si>
  <si>
    <t>JVM baked full (size)</t>
  </si>
  <si>
    <t>JVM baked minimal (duration)</t>
  </si>
  <si>
    <t>Protobuf.NET (size)</t>
  </si>
  <si>
    <t>Protobuf.NET (duration)</t>
  </si>
  <si>
    <t>JVM baked minimal (size)</t>
  </si>
  <si>
    <t>.NET (instance only)</t>
  </si>
  <si>
    <t>JVM (instance only)</t>
  </si>
  <si>
    <t>Startup times: SmallObject.Message</t>
  </si>
  <si>
    <t>Startup times: LargeObjects.Book</t>
  </si>
  <si>
    <t>100.000 SmallObjects.Message</t>
  </si>
  <si>
    <t>1.000.000 SmallObjects.Message</t>
  </si>
  <si>
    <t>10.000.000 SmallObjects.Message</t>
  </si>
  <si>
    <t>100.000 SmallObjects.Complex</t>
  </si>
  <si>
    <t>1.000.000 SmallObjects.Complex</t>
  </si>
  <si>
    <t>10.000.000 SmallObjects.Complex</t>
  </si>
  <si>
    <t>100.000 SmallObjects.Post</t>
  </si>
  <si>
    <t>1.000.000 SmallObjects.Post</t>
  </si>
  <si>
    <t>10.000.000 SmallObjects.Post</t>
  </si>
  <si>
    <t>10.000 StandardObjects.DeletePost</t>
  </si>
  <si>
    <t>100.000 StandardObjects.DeletePost</t>
  </si>
  <si>
    <t>1.000.000 StandardObjects.DeletePost</t>
  </si>
  <si>
    <t>10.000 StandardObjects.Post</t>
  </si>
  <si>
    <t>100.000 StandardObjects.Post</t>
  </si>
  <si>
    <t>1.000.000 StandardObjects.Post</t>
  </si>
  <si>
    <t>100 LargeObjects.Book</t>
  </si>
  <si>
    <t>1.000 LargeObjects.Book</t>
  </si>
  <si>
    <r>
      <rPr>
        <b/>
        <sz val="11"/>
        <rFont val="Calibri"/>
      </rPr>
      <t>Unlicensed version. Please register @ templater.info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</si>
</sst>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04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Sheet1!$C$38:$K$38</c:f>
              <c:numCache>
                <c:formatCode>#,##0.0</c:formatCode>
                <c:ptCount val="9"/>
                <c:pt idx="0">
                  <c:v>80.666666666666671</c:v>
                </c:pt>
                <c:pt idx="1">
                  <c:v>3</c:v>
                </c:pt>
                <c:pt idx="2">
                  <c:v>3.3333333333333335</c:v>
                </c:pt>
                <c:pt idx="3">
                  <c:v>36.333333333333336</c:v>
                </c:pt>
                <c:pt idx="4">
                  <c:v>0</c:v>
                </c:pt>
                <c:pt idx="5">
                  <c:v>0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Sheet1!$C$39:$K$39</c:f>
              <c:numCache>
                <c:formatCode>#,##0.0</c:formatCode>
                <c:ptCount val="9"/>
                <c:pt idx="0">
                  <c:v>29.333333333333329</c:v>
                </c:pt>
                <c:pt idx="1">
                  <c:v>11</c:v>
                </c:pt>
                <c:pt idx="2">
                  <c:v>9.6666666666666661</c:v>
                </c:pt>
                <c:pt idx="3">
                  <c:v>26</c:v>
                </c:pt>
                <c:pt idx="4">
                  <c:v>10.333333333333334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68512"/>
        <c:axId val="154770048"/>
      </c:barChart>
      <c:catAx>
        <c:axId val="154768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4770048"/>
        <c:crosses val="autoZero"/>
        <c:auto val="1"/>
        <c:lblAlgn val="ctr"/>
        <c:lblOffset val="100"/>
        <c:noMultiLvlLbl val="0"/>
      </c:catAx>
      <c:valAx>
        <c:axId val="154770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476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Sheet5!$B$41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Sheet5!$C$37:$I$37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Sheet5!$C$41:$I$41</c:f>
              <c:numCache>
                <c:formatCode>#,##0</c:formatCode>
                <c:ptCount val="7"/>
                <c:pt idx="0">
                  <c:v>517777768</c:v>
                </c:pt>
                <c:pt idx="1">
                  <c:v>517777780</c:v>
                </c:pt>
                <c:pt idx="2">
                  <c:v>517777768</c:v>
                </c:pt>
                <c:pt idx="3">
                  <c:v>517777780</c:v>
                </c:pt>
                <c:pt idx="4">
                  <c:v>517777780</c:v>
                </c:pt>
                <c:pt idx="5">
                  <c:v>517777768</c:v>
                </c:pt>
                <c:pt idx="6">
                  <c:v>266775224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80832"/>
        <c:axId val="157482368"/>
      </c:barChart>
      <c:catAx>
        <c:axId val="157480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482368"/>
        <c:crosses val="autoZero"/>
        <c:auto val="1"/>
        <c:lblAlgn val="ctr"/>
        <c:lblOffset val="100"/>
        <c:noMultiLvlLbl val="0"/>
      </c:catAx>
      <c:valAx>
        <c:axId val="157482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748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Sheet6!$C$37:$K$37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Sheet6!$C$38:$K$38</c:f>
              <c:numCache>
                <c:formatCode>#,##0.0</c:formatCode>
                <c:ptCount val="9"/>
                <c:pt idx="0">
                  <c:v>146</c:v>
                </c:pt>
                <c:pt idx="1">
                  <c:v>63</c:v>
                </c:pt>
                <c:pt idx="2">
                  <c:v>63</c:v>
                </c:pt>
                <c:pt idx="3">
                  <c:v>192</c:v>
                </c:pt>
                <c:pt idx="4">
                  <c:v>150.66666666666666</c:v>
                </c:pt>
                <c:pt idx="5">
                  <c:v>150.66666666666666</c:v>
                </c:pt>
                <c:pt idx="6">
                  <c:v>42</c:v>
                </c:pt>
                <c:pt idx="7">
                  <c:v>11</c:v>
                </c:pt>
                <c:pt idx="8">
                  <c:v>83</c:v>
                </c:pt>
              </c:numCache>
            </c:numRef>
          </c:val>
        </c:ser>
        <c:ser>
          <c:idx val="1"/>
          <c:order val="1"/>
          <c:tx>
            <c:strRef>
              <c:f>Sheet6!$B$39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Sheet6!$C$37:$K$37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Sheet6!$C$39:$K$39</c:f>
              <c:numCache>
                <c:formatCode>#,##0.0</c:formatCode>
                <c:ptCount val="9"/>
                <c:pt idx="0">
                  <c:v>368.33333333333337</c:v>
                </c:pt>
                <c:pt idx="1">
                  <c:v>107.33333333333334</c:v>
                </c:pt>
                <c:pt idx="2">
                  <c:v>105.66666666666666</c:v>
                </c:pt>
                <c:pt idx="3">
                  <c:v>146</c:v>
                </c:pt>
                <c:pt idx="4">
                  <c:v>46.666666666666686</c:v>
                </c:pt>
                <c:pt idx="5">
                  <c:v>51.666666666666686</c:v>
                </c:pt>
                <c:pt idx="6">
                  <c:v>60.333333333333329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48544"/>
        <c:axId val="157950336"/>
      </c:barChart>
      <c:catAx>
        <c:axId val="157948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950336"/>
        <c:crosses val="autoZero"/>
        <c:auto val="1"/>
        <c:lblAlgn val="ctr"/>
        <c:lblOffset val="100"/>
        <c:noMultiLvlLbl val="0"/>
      </c:catAx>
      <c:valAx>
        <c:axId val="157950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79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Sheet6!$B$41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Sheet6!$C$37:$I$37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Sheet6!$C$41:$I$41</c:f>
              <c:numCache>
                <c:formatCode>#,##0</c:formatCode>
                <c:ptCount val="7"/>
                <c:pt idx="0">
                  <c:v>3346868</c:v>
                </c:pt>
                <c:pt idx="1">
                  <c:v>3346489</c:v>
                </c:pt>
                <c:pt idx="2">
                  <c:v>3346472</c:v>
                </c:pt>
                <c:pt idx="3">
                  <c:v>4477194</c:v>
                </c:pt>
                <c:pt idx="4">
                  <c:v>4477190</c:v>
                </c:pt>
                <c:pt idx="5">
                  <c:v>4477173</c:v>
                </c:pt>
                <c:pt idx="6">
                  <c:v>1658087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83488"/>
        <c:axId val="157985024"/>
      </c:barChart>
      <c:catAx>
        <c:axId val="157983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985024"/>
        <c:crosses val="autoZero"/>
        <c:auto val="1"/>
        <c:lblAlgn val="ctr"/>
        <c:lblOffset val="100"/>
        <c:noMultiLvlLbl val="0"/>
      </c:catAx>
      <c:valAx>
        <c:axId val="157985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798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Sheet7!$C$37:$K$37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Sheet7!$C$38:$K$38</c:f>
              <c:numCache>
                <c:formatCode>#,##0.0</c:formatCode>
                <c:ptCount val="9"/>
                <c:pt idx="0">
                  <c:v>1498</c:v>
                </c:pt>
                <c:pt idx="1">
                  <c:v>647.33333333333337</c:v>
                </c:pt>
                <c:pt idx="2">
                  <c:v>636</c:v>
                </c:pt>
                <c:pt idx="3">
                  <c:v>1035</c:v>
                </c:pt>
                <c:pt idx="4">
                  <c:v>795.33333333333337</c:v>
                </c:pt>
                <c:pt idx="5">
                  <c:v>800.33333333333337</c:v>
                </c:pt>
                <c:pt idx="6">
                  <c:v>454</c:v>
                </c:pt>
                <c:pt idx="7">
                  <c:v>112</c:v>
                </c:pt>
                <c:pt idx="8">
                  <c:v>400.66666666666669</c:v>
                </c:pt>
              </c:numCache>
            </c:numRef>
          </c:val>
        </c:ser>
        <c:ser>
          <c:idx val="1"/>
          <c:order val="1"/>
          <c:tx>
            <c:strRef>
              <c:f>Sheet7!$B$39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Sheet7!$C$37:$K$37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Sheet7!$C$39:$K$39</c:f>
              <c:numCache>
                <c:formatCode>#,##0.0</c:formatCode>
                <c:ptCount val="9"/>
                <c:pt idx="0">
                  <c:v>3394.333333333333</c:v>
                </c:pt>
                <c:pt idx="1">
                  <c:v>1095.6666666666665</c:v>
                </c:pt>
                <c:pt idx="2">
                  <c:v>1084</c:v>
                </c:pt>
                <c:pt idx="3">
                  <c:v>618.66666666666674</c:v>
                </c:pt>
                <c:pt idx="4">
                  <c:v>369.66666666666663</c:v>
                </c:pt>
                <c:pt idx="5">
                  <c:v>333.66666666666663</c:v>
                </c:pt>
                <c:pt idx="6">
                  <c:v>622.66666666666674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63488"/>
        <c:axId val="158465024"/>
      </c:barChart>
      <c:catAx>
        <c:axId val="158463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8465024"/>
        <c:crosses val="autoZero"/>
        <c:auto val="1"/>
        <c:lblAlgn val="ctr"/>
        <c:lblOffset val="100"/>
        <c:noMultiLvlLbl val="0"/>
      </c:catAx>
      <c:valAx>
        <c:axId val="158465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846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Sheet7!$B$41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Sheet7!$C$37:$I$37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Sheet7!$C$41:$I$41</c:f>
              <c:numCache>
                <c:formatCode>#,##0</c:formatCode>
                <c:ptCount val="7"/>
                <c:pt idx="0">
                  <c:v>36448868</c:v>
                </c:pt>
                <c:pt idx="1">
                  <c:v>36444889</c:v>
                </c:pt>
                <c:pt idx="2">
                  <c:v>36444872</c:v>
                </c:pt>
                <c:pt idx="3">
                  <c:v>46514394</c:v>
                </c:pt>
                <c:pt idx="4">
                  <c:v>46514390</c:v>
                </c:pt>
                <c:pt idx="5">
                  <c:v>46514373</c:v>
                </c:pt>
                <c:pt idx="6">
                  <c:v>16941514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97472"/>
        <c:axId val="158311552"/>
      </c:barChart>
      <c:catAx>
        <c:axId val="158297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8311552"/>
        <c:crosses val="autoZero"/>
        <c:auto val="1"/>
        <c:lblAlgn val="ctr"/>
        <c:lblOffset val="100"/>
        <c:noMultiLvlLbl val="0"/>
      </c:catAx>
      <c:valAx>
        <c:axId val="15831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829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Sheet8!$C$37:$K$37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Sheet8!$C$38:$K$38</c:f>
              <c:numCache>
                <c:formatCode>#,##0.0</c:formatCode>
                <c:ptCount val="9"/>
                <c:pt idx="0">
                  <c:v>14795</c:v>
                </c:pt>
                <c:pt idx="1">
                  <c:v>6622.333333333333</c:v>
                </c:pt>
                <c:pt idx="2">
                  <c:v>6571</c:v>
                </c:pt>
                <c:pt idx="3">
                  <c:v>8700</c:v>
                </c:pt>
                <c:pt idx="4">
                  <c:v>6853.666666666667</c:v>
                </c:pt>
                <c:pt idx="5">
                  <c:v>6843.333333333333</c:v>
                </c:pt>
                <c:pt idx="6">
                  <c:v>3777.333333333333</c:v>
                </c:pt>
                <c:pt idx="7">
                  <c:v>1127</c:v>
                </c:pt>
                <c:pt idx="8">
                  <c:v>3239.6666666666665</c:v>
                </c:pt>
              </c:numCache>
            </c:numRef>
          </c:val>
        </c:ser>
        <c:ser>
          <c:idx val="1"/>
          <c:order val="1"/>
          <c:tx>
            <c:strRef>
              <c:f>Sheet8!$B$39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Sheet8!$C$37:$K$37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Sheet8!$C$39:$K$39</c:f>
              <c:numCache>
                <c:formatCode>#,##0.0</c:formatCode>
                <c:ptCount val="9"/>
                <c:pt idx="0">
                  <c:v>32719</c:v>
                </c:pt>
                <c:pt idx="1">
                  <c:v>11441.666666666668</c:v>
                </c:pt>
                <c:pt idx="2">
                  <c:v>11424.333333333332</c:v>
                </c:pt>
                <c:pt idx="3">
                  <c:v>6021.3333333333339</c:v>
                </c:pt>
                <c:pt idx="4">
                  <c:v>3488.9999999999991</c:v>
                </c:pt>
                <c:pt idx="5">
                  <c:v>3509.333333333333</c:v>
                </c:pt>
                <c:pt idx="6">
                  <c:v>5654.0000000000009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82240"/>
        <c:axId val="159483776"/>
      </c:barChart>
      <c:catAx>
        <c:axId val="159482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483776"/>
        <c:crosses val="autoZero"/>
        <c:auto val="1"/>
        <c:lblAlgn val="ctr"/>
        <c:lblOffset val="100"/>
        <c:noMultiLvlLbl val="0"/>
      </c:catAx>
      <c:valAx>
        <c:axId val="15948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948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Sheet8!$B$41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Sheet8!$C$37:$I$37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Sheet8!$C$41:$I$41</c:f>
              <c:numCache>
                <c:formatCode>#,##0</c:formatCode>
                <c:ptCount val="7"/>
                <c:pt idx="0">
                  <c:v>394468868</c:v>
                </c:pt>
                <c:pt idx="1">
                  <c:v>394428889</c:v>
                </c:pt>
                <c:pt idx="2">
                  <c:v>394428872</c:v>
                </c:pt>
                <c:pt idx="3">
                  <c:v>471015610</c:v>
                </c:pt>
                <c:pt idx="4">
                  <c:v>471015606</c:v>
                </c:pt>
                <c:pt idx="5">
                  <c:v>471015589</c:v>
                </c:pt>
                <c:pt idx="6">
                  <c:v>184924181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08736"/>
        <c:axId val="159797248"/>
      </c:barChart>
      <c:catAx>
        <c:axId val="159508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797248"/>
        <c:crosses val="autoZero"/>
        <c:auto val="1"/>
        <c:lblAlgn val="ctr"/>
        <c:lblOffset val="100"/>
        <c:noMultiLvlLbl val="0"/>
      </c:catAx>
      <c:valAx>
        <c:axId val="159797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950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Sheet9!$C$37:$K$37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Sheet9!$C$38:$K$38</c:f>
              <c:numCache>
                <c:formatCode>#,##0.0</c:formatCode>
                <c:ptCount val="9"/>
                <c:pt idx="0">
                  <c:v>282.66666666666669</c:v>
                </c:pt>
                <c:pt idx="1">
                  <c:v>109</c:v>
                </c:pt>
                <c:pt idx="2">
                  <c:v>108</c:v>
                </c:pt>
                <c:pt idx="3">
                  <c:v>197.33333333333334</c:v>
                </c:pt>
                <c:pt idx="4">
                  <c:v>114.33333333333333</c:v>
                </c:pt>
                <c:pt idx="5">
                  <c:v>109.33333333333333</c:v>
                </c:pt>
                <c:pt idx="6">
                  <c:v>69</c:v>
                </c:pt>
                <c:pt idx="7">
                  <c:v>114</c:v>
                </c:pt>
                <c:pt idx="8">
                  <c:v>62.666666666666664</c:v>
                </c:pt>
              </c:numCache>
            </c:numRef>
          </c:val>
        </c:ser>
        <c:ser>
          <c:idx val="1"/>
          <c:order val="1"/>
          <c:tx>
            <c:strRef>
              <c:f>Sheet9!$B$39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Sheet9!$C$37:$K$37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Sheet9!$C$39:$K$39</c:f>
              <c:numCache>
                <c:formatCode>#,##0.0</c:formatCode>
                <c:ptCount val="9"/>
                <c:pt idx="0">
                  <c:v>562.33333333333326</c:v>
                </c:pt>
                <c:pt idx="1">
                  <c:v>104.33333333333331</c:v>
                </c:pt>
                <c:pt idx="2">
                  <c:v>103.33333333333331</c:v>
                </c:pt>
                <c:pt idx="3">
                  <c:v>270.66666666666663</c:v>
                </c:pt>
                <c:pt idx="4">
                  <c:v>57.666666666666671</c:v>
                </c:pt>
                <c:pt idx="5">
                  <c:v>52.000000000000014</c:v>
                </c:pt>
                <c:pt idx="6">
                  <c:v>181.33333333333331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05152"/>
        <c:axId val="157135616"/>
      </c:barChart>
      <c:catAx>
        <c:axId val="157105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135616"/>
        <c:crosses val="autoZero"/>
        <c:auto val="1"/>
        <c:lblAlgn val="ctr"/>
        <c:lblOffset val="100"/>
        <c:noMultiLvlLbl val="0"/>
      </c:catAx>
      <c:valAx>
        <c:axId val="157135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710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Sheet9!$B$41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Sheet9!$C$37:$I$37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Sheet9!$C$41:$I$41</c:f>
              <c:numCache>
                <c:formatCode>#,##0</c:formatCode>
                <c:ptCount val="7"/>
                <c:pt idx="0">
                  <c:v>12850253</c:v>
                </c:pt>
                <c:pt idx="1">
                  <c:v>11350260</c:v>
                </c:pt>
                <c:pt idx="2">
                  <c:v>11350260</c:v>
                </c:pt>
                <c:pt idx="3">
                  <c:v>11025974</c:v>
                </c:pt>
                <c:pt idx="4">
                  <c:v>11025975</c:v>
                </c:pt>
                <c:pt idx="5">
                  <c:v>10325975</c:v>
                </c:pt>
                <c:pt idx="6">
                  <c:v>7061367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17344"/>
        <c:axId val="158218880"/>
      </c:barChart>
      <c:catAx>
        <c:axId val="158217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8218880"/>
        <c:crosses val="autoZero"/>
        <c:auto val="1"/>
        <c:lblAlgn val="ctr"/>
        <c:lblOffset val="100"/>
        <c:noMultiLvlLbl val="0"/>
      </c:catAx>
      <c:valAx>
        <c:axId val="158218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821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Sheet10!$C$37:$K$37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Sheet10!$C$38:$K$38</c:f>
              <c:numCache>
                <c:formatCode>#,##0.0</c:formatCode>
                <c:ptCount val="9"/>
                <c:pt idx="0">
                  <c:v>2780.333333333333</c:v>
                </c:pt>
                <c:pt idx="1">
                  <c:v>1065.6666666666667</c:v>
                </c:pt>
                <c:pt idx="2">
                  <c:v>1055.6666666666667</c:v>
                </c:pt>
                <c:pt idx="3">
                  <c:v>1039.6666666666667</c:v>
                </c:pt>
                <c:pt idx="4">
                  <c:v>603.33333333333337</c:v>
                </c:pt>
                <c:pt idx="5">
                  <c:v>603</c:v>
                </c:pt>
                <c:pt idx="6">
                  <c:v>719.33333333333326</c:v>
                </c:pt>
                <c:pt idx="7">
                  <c:v>1155.6666666666667</c:v>
                </c:pt>
                <c:pt idx="8">
                  <c:v>264.66666666666669</c:v>
                </c:pt>
              </c:numCache>
            </c:numRef>
          </c:val>
        </c:ser>
        <c:ser>
          <c:idx val="1"/>
          <c:order val="1"/>
          <c:tx>
            <c:strRef>
              <c:f>Sheet10!$B$39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Sheet10!$C$37:$K$37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Sheet10!$C$39:$K$39</c:f>
              <c:numCache>
                <c:formatCode>#,##0.0</c:formatCode>
                <c:ptCount val="9"/>
                <c:pt idx="0">
                  <c:v>5825.0000000000009</c:v>
                </c:pt>
                <c:pt idx="1">
                  <c:v>1021.0000000000002</c:v>
                </c:pt>
                <c:pt idx="2">
                  <c:v>1038.6666666666663</c:v>
                </c:pt>
                <c:pt idx="3">
                  <c:v>1653.9999999999998</c:v>
                </c:pt>
                <c:pt idx="4">
                  <c:v>400.33333333333326</c:v>
                </c:pt>
                <c:pt idx="5">
                  <c:v>364.66666666666663</c:v>
                </c:pt>
                <c:pt idx="6">
                  <c:v>1851.9999999999998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75296"/>
        <c:axId val="159976832"/>
      </c:barChart>
      <c:catAx>
        <c:axId val="159975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976832"/>
        <c:crosses val="autoZero"/>
        <c:auto val="1"/>
        <c:lblAlgn val="ctr"/>
        <c:lblOffset val="100"/>
        <c:noMultiLvlLbl val="0"/>
      </c:catAx>
      <c:valAx>
        <c:axId val="159976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997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Sheet1!$C$41:$I$41</c:f>
              <c:numCache>
                <c:formatCode>#,##0</c:formatCode>
                <c:ptCount val="7"/>
                <c:pt idx="0">
                  <c:v>28</c:v>
                </c:pt>
                <c:pt idx="1">
                  <c:v>40</c:v>
                </c:pt>
                <c:pt idx="2">
                  <c:v>28</c:v>
                </c:pt>
                <c:pt idx="3">
                  <c:v>40</c:v>
                </c:pt>
                <c:pt idx="4">
                  <c:v>40</c:v>
                </c:pt>
                <c:pt idx="5">
                  <c:v>28</c:v>
                </c:pt>
                <c:pt idx="6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16608"/>
        <c:axId val="155734784"/>
      </c:barChart>
      <c:catAx>
        <c:axId val="155716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734784"/>
        <c:crosses val="autoZero"/>
        <c:auto val="1"/>
        <c:lblAlgn val="ctr"/>
        <c:lblOffset val="100"/>
        <c:noMultiLvlLbl val="0"/>
      </c:catAx>
      <c:valAx>
        <c:axId val="155734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571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Sheet10!$B$41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Sheet10!$C$37:$I$37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Sheet10!$C$41:$I$41</c:f>
              <c:numCache>
                <c:formatCode>#,##0</c:formatCode>
                <c:ptCount val="7"/>
                <c:pt idx="0">
                  <c:v>131500681</c:v>
                </c:pt>
                <c:pt idx="1">
                  <c:v>116500676</c:v>
                </c:pt>
                <c:pt idx="2">
                  <c:v>116500676</c:v>
                </c:pt>
                <c:pt idx="3">
                  <c:v>112260134</c:v>
                </c:pt>
                <c:pt idx="4">
                  <c:v>112260150</c:v>
                </c:pt>
                <c:pt idx="5">
                  <c:v>105260150</c:v>
                </c:pt>
                <c:pt idx="6">
                  <c:v>72611783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22528"/>
        <c:axId val="160024064"/>
      </c:barChart>
      <c:catAx>
        <c:axId val="160022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024064"/>
        <c:crosses val="autoZero"/>
        <c:auto val="1"/>
        <c:lblAlgn val="ctr"/>
        <c:lblOffset val="100"/>
        <c:noMultiLvlLbl val="0"/>
      </c:catAx>
      <c:valAx>
        <c:axId val="160024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6002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Sheet11!$C$37:$K$37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Sheet11!$C$38:$K$38</c:f>
              <c:numCache>
                <c:formatCode>#,##0.0</c:formatCode>
                <c:ptCount val="9"/>
                <c:pt idx="0">
                  <c:v>28034</c:v>
                </c:pt>
                <c:pt idx="1">
                  <c:v>10830.999999999998</c:v>
                </c:pt>
                <c:pt idx="2">
                  <c:v>10677.999999999998</c:v>
                </c:pt>
                <c:pt idx="3">
                  <c:v>9448.6666666666661</c:v>
                </c:pt>
                <c:pt idx="4">
                  <c:v>5735.666666666667</c:v>
                </c:pt>
                <c:pt idx="5">
                  <c:v>5678.666666666667</c:v>
                </c:pt>
                <c:pt idx="6">
                  <c:v>6302.3333333333339</c:v>
                </c:pt>
                <c:pt idx="7">
                  <c:v>11677.333333333334</c:v>
                </c:pt>
                <c:pt idx="8">
                  <c:v>2376.3333333333335</c:v>
                </c:pt>
              </c:numCache>
            </c:numRef>
          </c:val>
        </c:ser>
        <c:ser>
          <c:idx val="1"/>
          <c:order val="1"/>
          <c:tx>
            <c:strRef>
              <c:f>Sheet11!$B$39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Sheet11!$C$37:$K$37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Sheet11!$C$39:$K$39</c:f>
              <c:numCache>
                <c:formatCode>#,##0.0</c:formatCode>
                <c:ptCount val="9"/>
                <c:pt idx="0">
                  <c:v>56302.333333333343</c:v>
                </c:pt>
                <c:pt idx="1">
                  <c:v>10497.33333333333</c:v>
                </c:pt>
                <c:pt idx="2">
                  <c:v>10303.666666666666</c:v>
                </c:pt>
                <c:pt idx="3">
                  <c:v>16915.333333333336</c:v>
                </c:pt>
                <c:pt idx="4">
                  <c:v>3801.333333333333</c:v>
                </c:pt>
                <c:pt idx="5">
                  <c:v>3623.9999999999991</c:v>
                </c:pt>
                <c:pt idx="6">
                  <c:v>19153.666666666664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68928"/>
        <c:axId val="159070464"/>
      </c:barChart>
      <c:catAx>
        <c:axId val="159068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070464"/>
        <c:crosses val="autoZero"/>
        <c:auto val="1"/>
        <c:lblAlgn val="ctr"/>
        <c:lblOffset val="100"/>
        <c:noMultiLvlLbl val="0"/>
      </c:catAx>
      <c:valAx>
        <c:axId val="159070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906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Sheet11!$B$41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Sheet11!$C$37:$I$37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Sheet11!$C$41:$I$41</c:f>
              <c:numCache>
                <c:formatCode>#,##0</c:formatCode>
                <c:ptCount val="7"/>
                <c:pt idx="0">
                  <c:v>1345010580</c:v>
                </c:pt>
                <c:pt idx="1">
                  <c:v>1195010573</c:v>
                </c:pt>
                <c:pt idx="2">
                  <c:v>1195010573</c:v>
                </c:pt>
                <c:pt idx="3">
                  <c:v>1142605274</c:v>
                </c:pt>
                <c:pt idx="4">
                  <c:v>1142605277</c:v>
                </c:pt>
                <c:pt idx="5">
                  <c:v>1072605277</c:v>
                </c:pt>
                <c:pt idx="6">
                  <c:v>746121677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11808"/>
        <c:axId val="159113600"/>
      </c:barChart>
      <c:catAx>
        <c:axId val="159111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113600"/>
        <c:crosses val="autoZero"/>
        <c:auto val="1"/>
        <c:lblAlgn val="ctr"/>
        <c:lblOffset val="100"/>
        <c:noMultiLvlLbl val="0"/>
      </c:catAx>
      <c:valAx>
        <c:axId val="159113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91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Sheet12!$C$37:$K$37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Sheet12!$C$38:$K$38</c:f>
              <c:numCache>
                <c:formatCode>#,##0.0</c:formatCode>
                <c:ptCount val="9"/>
                <c:pt idx="0">
                  <c:v>132.66666666666666</c:v>
                </c:pt>
                <c:pt idx="1">
                  <c:v>28</c:v>
                </c:pt>
                <c:pt idx="2">
                  <c:v>27</c:v>
                </c:pt>
                <c:pt idx="3">
                  <c:v>171.33333333333334</c:v>
                </c:pt>
                <c:pt idx="4">
                  <c:v>72.666666666666671</c:v>
                </c:pt>
                <c:pt idx="5">
                  <c:v>62</c:v>
                </c:pt>
                <c:pt idx="6">
                  <c:v>63.666666666666671</c:v>
                </c:pt>
                <c:pt idx="7">
                  <c:v>7</c:v>
                </c:pt>
                <c:pt idx="8">
                  <c:v>15.666666666666666</c:v>
                </c:pt>
              </c:numCache>
            </c:numRef>
          </c:val>
        </c:ser>
        <c:ser>
          <c:idx val="1"/>
          <c:order val="1"/>
          <c:tx>
            <c:strRef>
              <c:f>Sheet12!$B$39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Sheet12!$C$37:$K$37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Sheet12!$C$39:$K$39</c:f>
              <c:numCache>
                <c:formatCode>#,##0.0</c:formatCode>
                <c:ptCount val="9"/>
                <c:pt idx="0">
                  <c:v>113.66666666666669</c:v>
                </c:pt>
                <c:pt idx="1">
                  <c:v>75</c:v>
                </c:pt>
                <c:pt idx="2">
                  <c:v>39.333333333333329</c:v>
                </c:pt>
                <c:pt idx="3">
                  <c:v>202.99999999999997</c:v>
                </c:pt>
                <c:pt idx="4">
                  <c:v>57.333333333333329</c:v>
                </c:pt>
                <c:pt idx="5">
                  <c:v>63</c:v>
                </c:pt>
                <c:pt idx="6">
                  <c:v>24.333333333333329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00768"/>
        <c:axId val="160802304"/>
      </c:barChart>
      <c:catAx>
        <c:axId val="160800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802304"/>
        <c:crosses val="autoZero"/>
        <c:auto val="1"/>
        <c:lblAlgn val="ctr"/>
        <c:lblOffset val="100"/>
        <c:noMultiLvlLbl val="0"/>
      </c:catAx>
      <c:valAx>
        <c:axId val="16080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6080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Sheet12!$B$41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Sheet12!$C$37:$I$37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Sheet12!$C$41:$I$41</c:f>
              <c:numCache>
                <c:formatCode>#,##0</c:formatCode>
                <c:ptCount val="7"/>
                <c:pt idx="0">
                  <c:v>1640586</c:v>
                </c:pt>
                <c:pt idx="1">
                  <c:v>2025118</c:v>
                </c:pt>
                <c:pt idx="2">
                  <c:v>1655917</c:v>
                </c:pt>
                <c:pt idx="3">
                  <c:v>1617328</c:v>
                </c:pt>
                <c:pt idx="4">
                  <c:v>1985118</c:v>
                </c:pt>
                <c:pt idx="5">
                  <c:v>1615917</c:v>
                </c:pt>
                <c:pt idx="6">
                  <c:v>637332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31360"/>
        <c:axId val="160832896"/>
      </c:barChart>
      <c:catAx>
        <c:axId val="160831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832896"/>
        <c:crosses val="autoZero"/>
        <c:auto val="1"/>
        <c:lblAlgn val="ctr"/>
        <c:lblOffset val="100"/>
        <c:noMultiLvlLbl val="0"/>
      </c:catAx>
      <c:valAx>
        <c:axId val="160832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6083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Sheet13!$C$37:$K$37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Sheet13!$C$38:$K$38</c:f>
              <c:numCache>
                <c:formatCode>#,##0.0</c:formatCode>
                <c:ptCount val="9"/>
                <c:pt idx="0">
                  <c:v>508.66666666666669</c:v>
                </c:pt>
                <c:pt idx="1">
                  <c:v>207</c:v>
                </c:pt>
                <c:pt idx="2">
                  <c:v>195</c:v>
                </c:pt>
                <c:pt idx="3">
                  <c:v>374.33333333333331</c:v>
                </c:pt>
                <c:pt idx="4">
                  <c:v>254.66666666666666</c:v>
                </c:pt>
                <c:pt idx="5">
                  <c:v>260.33333333333331</c:v>
                </c:pt>
                <c:pt idx="6">
                  <c:v>134.66666666666669</c:v>
                </c:pt>
                <c:pt idx="7">
                  <c:v>69.333333333333329</c:v>
                </c:pt>
                <c:pt idx="8">
                  <c:v>46.666666666666664</c:v>
                </c:pt>
              </c:numCache>
            </c:numRef>
          </c:val>
        </c:ser>
        <c:ser>
          <c:idx val="1"/>
          <c:order val="1"/>
          <c:tx>
            <c:strRef>
              <c:f>Sheet13!$B$39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Sheet13!$C$37:$K$37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Sheet13!$C$39:$K$39</c:f>
              <c:numCache>
                <c:formatCode>#,##0.0</c:formatCode>
                <c:ptCount val="9"/>
                <c:pt idx="0">
                  <c:v>811</c:v>
                </c:pt>
                <c:pt idx="1">
                  <c:v>302.66666666666669</c:v>
                </c:pt>
                <c:pt idx="2">
                  <c:v>272.66666666666669</c:v>
                </c:pt>
                <c:pt idx="3">
                  <c:v>494.33333333333331</c:v>
                </c:pt>
                <c:pt idx="4">
                  <c:v>265.33333333333337</c:v>
                </c:pt>
                <c:pt idx="5">
                  <c:v>306.00000000000006</c:v>
                </c:pt>
                <c:pt idx="6">
                  <c:v>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29024"/>
        <c:axId val="160534912"/>
      </c:barChart>
      <c:catAx>
        <c:axId val="160529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534912"/>
        <c:crosses val="autoZero"/>
        <c:auto val="1"/>
        <c:lblAlgn val="ctr"/>
        <c:lblOffset val="100"/>
        <c:noMultiLvlLbl val="0"/>
      </c:catAx>
      <c:valAx>
        <c:axId val="160534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6052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Sheet13!$B$41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Sheet13!$C$37:$I$37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Sheet13!$C$41:$I$41</c:f>
              <c:numCache>
                <c:formatCode>#,##0</c:formatCode>
                <c:ptCount val="7"/>
                <c:pt idx="0">
                  <c:v>17286511.666666668</c:v>
                </c:pt>
                <c:pt idx="1">
                  <c:v>21152665</c:v>
                </c:pt>
                <c:pt idx="2">
                  <c:v>17473176</c:v>
                </c:pt>
                <c:pt idx="3">
                  <c:v>17074587</c:v>
                </c:pt>
                <c:pt idx="4">
                  <c:v>20752665</c:v>
                </c:pt>
                <c:pt idx="5">
                  <c:v>17073176</c:v>
                </c:pt>
                <c:pt idx="6">
                  <c:v>6839717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76256"/>
        <c:axId val="160577792"/>
      </c:barChart>
      <c:catAx>
        <c:axId val="160576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577792"/>
        <c:crosses val="autoZero"/>
        <c:auto val="1"/>
        <c:lblAlgn val="ctr"/>
        <c:lblOffset val="100"/>
        <c:noMultiLvlLbl val="0"/>
      </c:catAx>
      <c:valAx>
        <c:axId val="160577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6057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Sheet14!$C$37:$K$37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Sheet14!$C$38:$K$38</c:f>
              <c:numCache>
                <c:formatCode>#,##0.0</c:formatCode>
                <c:ptCount val="9"/>
                <c:pt idx="0">
                  <c:v>4298.333333333333</c:v>
                </c:pt>
                <c:pt idx="1">
                  <c:v>2021.666666666667</c:v>
                </c:pt>
                <c:pt idx="2">
                  <c:v>1928.666666666667</c:v>
                </c:pt>
                <c:pt idx="3">
                  <c:v>1476.6666666666667</c:v>
                </c:pt>
                <c:pt idx="4">
                  <c:v>1383</c:v>
                </c:pt>
                <c:pt idx="5">
                  <c:v>1305</c:v>
                </c:pt>
                <c:pt idx="6">
                  <c:v>876.00000000000011</c:v>
                </c:pt>
                <c:pt idx="7">
                  <c:v>670.66666666666663</c:v>
                </c:pt>
                <c:pt idx="8">
                  <c:v>223.66666666666666</c:v>
                </c:pt>
              </c:numCache>
            </c:numRef>
          </c:val>
        </c:ser>
        <c:ser>
          <c:idx val="1"/>
          <c:order val="1"/>
          <c:tx>
            <c:strRef>
              <c:f>Sheet14!$B$39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Sheet14!$C$37:$K$37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Sheet14!$C$39:$K$39</c:f>
              <c:numCache>
                <c:formatCode>#,##0.0</c:formatCode>
                <c:ptCount val="9"/>
                <c:pt idx="0">
                  <c:v>7743.3333333333348</c:v>
                </c:pt>
                <c:pt idx="1">
                  <c:v>2820.333333333333</c:v>
                </c:pt>
                <c:pt idx="2">
                  <c:v>2699.6666666666661</c:v>
                </c:pt>
                <c:pt idx="3">
                  <c:v>3078.333333333333</c:v>
                </c:pt>
                <c:pt idx="4">
                  <c:v>1217</c:v>
                </c:pt>
                <c:pt idx="5">
                  <c:v>1212.3333333333335</c:v>
                </c:pt>
                <c:pt idx="6">
                  <c:v>1657.666666666667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80032"/>
        <c:axId val="160381568"/>
      </c:barChart>
      <c:catAx>
        <c:axId val="160380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381568"/>
        <c:crosses val="autoZero"/>
        <c:auto val="1"/>
        <c:lblAlgn val="ctr"/>
        <c:lblOffset val="100"/>
        <c:noMultiLvlLbl val="0"/>
      </c:catAx>
      <c:valAx>
        <c:axId val="160381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6038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Sheet14!$B$41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Sheet14!$C$37:$I$37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Sheet14!$C$41:$I$41</c:f>
              <c:numCache>
                <c:formatCode>#,##0</c:formatCode>
                <c:ptCount val="7"/>
                <c:pt idx="0">
                  <c:v>182274558</c:v>
                </c:pt>
                <c:pt idx="1">
                  <c:v>220590226</c:v>
                </c:pt>
                <c:pt idx="2">
                  <c:v>183807889</c:v>
                </c:pt>
                <c:pt idx="3">
                  <c:v>179809300</c:v>
                </c:pt>
                <c:pt idx="4">
                  <c:v>216590226</c:v>
                </c:pt>
                <c:pt idx="5">
                  <c:v>179807889</c:v>
                </c:pt>
                <c:pt idx="6">
                  <c:v>72578052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98336"/>
        <c:axId val="160428800"/>
      </c:barChart>
      <c:catAx>
        <c:axId val="160398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428800"/>
        <c:crosses val="autoZero"/>
        <c:auto val="1"/>
        <c:lblAlgn val="ctr"/>
        <c:lblOffset val="100"/>
        <c:noMultiLvlLbl val="0"/>
      </c:catAx>
      <c:valAx>
        <c:axId val="160428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6039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Sheet15!$C$37:$K$37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Sheet15!$C$38:$K$38</c:f>
              <c:numCache>
                <c:formatCode>#,##0.0</c:formatCode>
                <c:ptCount val="9"/>
                <c:pt idx="0">
                  <c:v>2045.6666666666665</c:v>
                </c:pt>
                <c:pt idx="1">
                  <c:v>741.99999999999989</c:v>
                </c:pt>
                <c:pt idx="2">
                  <c:v>728.99999999999989</c:v>
                </c:pt>
                <c:pt idx="3">
                  <c:v>853</c:v>
                </c:pt>
                <c:pt idx="4">
                  <c:v>629.33333333333337</c:v>
                </c:pt>
                <c:pt idx="5">
                  <c:v>582.66666666666663</c:v>
                </c:pt>
                <c:pt idx="6">
                  <c:v>313</c:v>
                </c:pt>
                <c:pt idx="7">
                  <c:v>647.33333333333337</c:v>
                </c:pt>
                <c:pt idx="8">
                  <c:v>192.66666666666666</c:v>
                </c:pt>
              </c:numCache>
            </c:numRef>
          </c:val>
        </c:ser>
        <c:ser>
          <c:idx val="1"/>
          <c:order val="1"/>
          <c:tx>
            <c:strRef>
              <c:f>Sheet15!$B$39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Sheet15!$C$37:$K$37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Sheet15!$C$39:$K$39</c:f>
              <c:numCache>
                <c:formatCode>#,##0.0</c:formatCode>
                <c:ptCount val="9"/>
                <c:pt idx="0">
                  <c:v>3587.0000000000005</c:v>
                </c:pt>
                <c:pt idx="1">
                  <c:v>839.00000000000011</c:v>
                </c:pt>
                <c:pt idx="2">
                  <c:v>786.33333333333314</c:v>
                </c:pt>
                <c:pt idx="3">
                  <c:v>1289.3333333333335</c:v>
                </c:pt>
                <c:pt idx="4">
                  <c:v>467.66666666666663</c:v>
                </c:pt>
                <c:pt idx="5">
                  <c:v>525.00000000000011</c:v>
                </c:pt>
                <c:pt idx="6">
                  <c:v>933.66666666666652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79424"/>
        <c:axId val="162280960"/>
      </c:barChart>
      <c:catAx>
        <c:axId val="162279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2280960"/>
        <c:crosses val="autoZero"/>
        <c:auto val="1"/>
        <c:lblAlgn val="ctr"/>
        <c:lblOffset val="100"/>
        <c:noMultiLvlLbl val="0"/>
      </c:catAx>
      <c:valAx>
        <c:axId val="162280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6227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Sheet2!$C$37:$K$37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Sheet2!$C$38:$K$38</c:f>
              <c:numCache>
                <c:formatCode>#,##0.0</c:formatCode>
                <c:ptCount val="9"/>
                <c:pt idx="0">
                  <c:v>94</c:v>
                </c:pt>
                <c:pt idx="1">
                  <c:v>9</c:v>
                </c:pt>
                <c:pt idx="2">
                  <c:v>9</c:v>
                </c:pt>
                <c:pt idx="3">
                  <c:v>62.333333333333336</c:v>
                </c:pt>
                <c:pt idx="4">
                  <c:v>0</c:v>
                </c:pt>
                <c:pt idx="5">
                  <c:v>15.333333333333334</c:v>
                </c:pt>
                <c:pt idx="6">
                  <c:v>62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Sheet2!$C$37:$K$37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Sheet2!$C$39:$K$39</c:f>
              <c:numCache>
                <c:formatCode>#,##0.0</c:formatCode>
                <c:ptCount val="9"/>
                <c:pt idx="0">
                  <c:v>43.666666666666657</c:v>
                </c:pt>
                <c:pt idx="1">
                  <c:v>15.333333333333332</c:v>
                </c:pt>
                <c:pt idx="2">
                  <c:v>15.333333333333332</c:v>
                </c:pt>
                <c:pt idx="3">
                  <c:v>62.333333333333336</c:v>
                </c:pt>
                <c:pt idx="4">
                  <c:v>0</c:v>
                </c:pt>
                <c:pt idx="5">
                  <c:v>0.33333333333333215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12960"/>
        <c:axId val="156714496"/>
      </c:barChart>
      <c:catAx>
        <c:axId val="156712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714496"/>
        <c:crosses val="autoZero"/>
        <c:auto val="1"/>
        <c:lblAlgn val="ctr"/>
        <c:lblOffset val="100"/>
        <c:noMultiLvlLbl val="0"/>
      </c:catAx>
      <c:valAx>
        <c:axId val="156714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671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Sheet15!$B$41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Sheet15!$C$37:$I$37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Sheet15!$C$41:$I$41</c:f>
              <c:numCache>
                <c:formatCode>#,##0</c:formatCode>
                <c:ptCount val="7"/>
                <c:pt idx="0">
                  <c:v>102068216</c:v>
                </c:pt>
                <c:pt idx="1">
                  <c:v>100367182</c:v>
                </c:pt>
                <c:pt idx="2">
                  <c:v>94448479</c:v>
                </c:pt>
                <c:pt idx="3">
                  <c:v>93002713.666666672</c:v>
                </c:pt>
                <c:pt idx="4">
                  <c:v>98534853.666666672</c:v>
                </c:pt>
                <c:pt idx="5">
                  <c:v>87101810.666666672</c:v>
                </c:pt>
                <c:pt idx="6">
                  <c:v>46379642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01824"/>
        <c:axId val="162303360"/>
      </c:barChart>
      <c:catAx>
        <c:axId val="162301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2303360"/>
        <c:crosses val="autoZero"/>
        <c:auto val="1"/>
        <c:lblAlgn val="ctr"/>
        <c:lblOffset val="100"/>
        <c:noMultiLvlLbl val="0"/>
      </c:catAx>
      <c:valAx>
        <c:axId val="16230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6230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Sheet16!$C$37:$K$37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Sheet16!$C$38:$K$38</c:f>
              <c:numCache>
                <c:formatCode>#,##0.0</c:formatCode>
                <c:ptCount val="9"/>
                <c:pt idx="0">
                  <c:v>20459.333333333332</c:v>
                </c:pt>
                <c:pt idx="1">
                  <c:v>7584</c:v>
                </c:pt>
                <c:pt idx="2">
                  <c:v>7366</c:v>
                </c:pt>
                <c:pt idx="3">
                  <c:v>5746</c:v>
                </c:pt>
                <c:pt idx="4">
                  <c:v>4180.666666666667</c:v>
                </c:pt>
                <c:pt idx="5">
                  <c:v>4076.6666666666665</c:v>
                </c:pt>
                <c:pt idx="6">
                  <c:v>3062.3333333333339</c:v>
                </c:pt>
                <c:pt idx="7">
                  <c:v>6512</c:v>
                </c:pt>
                <c:pt idx="8">
                  <c:v>1269</c:v>
                </c:pt>
              </c:numCache>
            </c:numRef>
          </c:val>
        </c:ser>
        <c:ser>
          <c:idx val="1"/>
          <c:order val="1"/>
          <c:tx>
            <c:strRef>
              <c:f>Sheet16!$B$39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Sheet16!$C$37:$K$37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Sheet16!$C$39:$K$39</c:f>
              <c:numCache>
                <c:formatCode>#,##0.0</c:formatCode>
                <c:ptCount val="9"/>
                <c:pt idx="0">
                  <c:v>36431.666666666672</c:v>
                </c:pt>
                <c:pt idx="1">
                  <c:v>8214.6666666666679</c:v>
                </c:pt>
                <c:pt idx="2">
                  <c:v>7813.3333333333321</c:v>
                </c:pt>
                <c:pt idx="3">
                  <c:v>12022</c:v>
                </c:pt>
                <c:pt idx="4">
                  <c:v>3193</c:v>
                </c:pt>
                <c:pt idx="5">
                  <c:v>2803.3333333333335</c:v>
                </c:pt>
                <c:pt idx="6">
                  <c:v>9254.6666666666661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14560"/>
        <c:axId val="162173696"/>
      </c:barChart>
      <c:catAx>
        <c:axId val="162114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2173696"/>
        <c:crosses val="autoZero"/>
        <c:auto val="1"/>
        <c:lblAlgn val="ctr"/>
        <c:lblOffset val="100"/>
        <c:noMultiLvlLbl val="0"/>
      </c:catAx>
      <c:valAx>
        <c:axId val="16217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6211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Sheet16!$B$41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Sheet16!$C$37:$I$37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Sheet16!$C$41:$I$41</c:f>
              <c:numCache>
                <c:formatCode>#,##0</c:formatCode>
                <c:ptCount val="7"/>
                <c:pt idx="0">
                  <c:v>1035439093.3333334</c:v>
                </c:pt>
                <c:pt idx="1">
                  <c:v>1019005810</c:v>
                </c:pt>
                <c:pt idx="2">
                  <c:v>959819407</c:v>
                </c:pt>
                <c:pt idx="3">
                  <c:v>940324286</c:v>
                </c:pt>
                <c:pt idx="4">
                  <c:v>995672141.66666663</c:v>
                </c:pt>
                <c:pt idx="5">
                  <c:v>881328405.33333337</c:v>
                </c:pt>
                <c:pt idx="6">
                  <c:v>474011652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04864"/>
        <c:axId val="162806400"/>
      </c:barChart>
      <c:catAx>
        <c:axId val="162804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2806400"/>
        <c:crosses val="autoZero"/>
        <c:auto val="1"/>
        <c:lblAlgn val="ctr"/>
        <c:lblOffset val="100"/>
        <c:noMultiLvlLbl val="0"/>
      </c:catAx>
      <c:valAx>
        <c:axId val="162806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6280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Sheet17!$C$37:$K$37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Sheet17!$C$38:$K$38</c:f>
              <c:numCache>
                <c:formatCode>#,##0.0</c:formatCode>
                <c:ptCount val="9"/>
                <c:pt idx="0">
                  <c:v>200497.66666666663</c:v>
                </c:pt>
                <c:pt idx="1">
                  <c:v>75559.999999999985</c:v>
                </c:pt>
                <c:pt idx="2">
                  <c:v>73821.666666666672</c:v>
                </c:pt>
                <c:pt idx="3">
                  <c:v>56045.666666666664</c:v>
                </c:pt>
                <c:pt idx="4">
                  <c:v>38131.666666666664</c:v>
                </c:pt>
                <c:pt idx="5">
                  <c:v>37217</c:v>
                </c:pt>
                <c:pt idx="6">
                  <c:v>30254.666666666657</c:v>
                </c:pt>
                <c:pt idx="7">
                  <c:v>65642.666666666672</c:v>
                </c:pt>
                <c:pt idx="8">
                  <c:v>13073</c:v>
                </c:pt>
              </c:numCache>
            </c:numRef>
          </c:val>
        </c:ser>
        <c:ser>
          <c:idx val="1"/>
          <c:order val="1"/>
          <c:tx>
            <c:strRef>
              <c:f>Sheet17!$B$39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Sheet17!$C$37:$K$37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Sheet17!$C$39:$K$39</c:f>
              <c:numCache>
                <c:formatCode>#,##0.0</c:formatCode>
                <c:ptCount val="9"/>
                <c:pt idx="0">
                  <c:v>385411.00000000012</c:v>
                </c:pt>
                <c:pt idx="1">
                  <c:v>83182.000000000015</c:v>
                </c:pt>
                <c:pt idx="2">
                  <c:v>79320.000000000015</c:v>
                </c:pt>
                <c:pt idx="3">
                  <c:v>115767.66666666669</c:v>
                </c:pt>
                <c:pt idx="4">
                  <c:v>28823.666666666664</c:v>
                </c:pt>
                <c:pt idx="5">
                  <c:v>25604</c:v>
                </c:pt>
                <c:pt idx="6">
                  <c:v>92909.666666666672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89280"/>
        <c:axId val="159890816"/>
      </c:barChart>
      <c:catAx>
        <c:axId val="159889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890816"/>
        <c:crosses val="autoZero"/>
        <c:auto val="1"/>
        <c:lblAlgn val="ctr"/>
        <c:lblOffset val="100"/>
        <c:noMultiLvlLbl val="0"/>
      </c:catAx>
      <c:valAx>
        <c:axId val="159890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988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Sheet17!$B$41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Sheet17!$C$37:$I$37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Sheet17!$C$41:$I$41</c:f>
              <c:numCache>
                <c:formatCode>#,##0</c:formatCode>
                <c:ptCount val="7"/>
                <c:pt idx="0">
                  <c:v>10513667763</c:v>
                </c:pt>
                <c:pt idx="1">
                  <c:v>10343557825</c:v>
                </c:pt>
                <c:pt idx="2">
                  <c:v>9751694422</c:v>
                </c:pt>
                <c:pt idx="3">
                  <c:v>9506224119</c:v>
                </c:pt>
                <c:pt idx="4">
                  <c:v>10059644104</c:v>
                </c:pt>
                <c:pt idx="5">
                  <c:v>8916317367.666666</c:v>
                </c:pt>
                <c:pt idx="6">
                  <c:v>4841867567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68544"/>
        <c:axId val="162670080"/>
      </c:barChart>
      <c:catAx>
        <c:axId val="162668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2670080"/>
        <c:crosses val="autoZero"/>
        <c:auto val="1"/>
        <c:lblAlgn val="ctr"/>
        <c:lblOffset val="100"/>
        <c:noMultiLvlLbl val="0"/>
      </c:catAx>
      <c:valAx>
        <c:axId val="162670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6266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Sheet18!$B$38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Sheet18!$C$37:$K$37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Sheet18!$C$38:$K$38</c:f>
              <c:numCache>
                <c:formatCode>#,##0.0</c:formatCode>
                <c:ptCount val="9"/>
                <c:pt idx="0">
                  <c:v>972.66666666666674</c:v>
                </c:pt>
                <c:pt idx="1">
                  <c:v>410.33333333333331</c:v>
                </c:pt>
                <c:pt idx="2">
                  <c:v>395.33333333333331</c:v>
                </c:pt>
                <c:pt idx="3">
                  <c:v>702</c:v>
                </c:pt>
                <c:pt idx="4">
                  <c:v>640</c:v>
                </c:pt>
                <c:pt idx="5">
                  <c:v>592.33333333333337</c:v>
                </c:pt>
                <c:pt idx="6">
                  <c:v>280.00000000000006</c:v>
                </c:pt>
                <c:pt idx="7">
                  <c:v>319.33333333333331</c:v>
                </c:pt>
                <c:pt idx="8">
                  <c:v>223.66666666666666</c:v>
                </c:pt>
              </c:numCache>
            </c:numRef>
          </c:val>
        </c:ser>
        <c:ser>
          <c:idx val="1"/>
          <c:order val="1"/>
          <c:tx>
            <c:strRef>
              <c:f>Sheet18!$B$39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Sheet18!$C$37:$K$37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Sheet18!$C$39:$K$39</c:f>
              <c:numCache>
                <c:formatCode>#,##0.0</c:formatCode>
                <c:ptCount val="9"/>
                <c:pt idx="0">
                  <c:v>1449.3333333333333</c:v>
                </c:pt>
                <c:pt idx="1">
                  <c:v>684.00000000000023</c:v>
                </c:pt>
                <c:pt idx="2">
                  <c:v>670.33333333333348</c:v>
                </c:pt>
                <c:pt idx="3">
                  <c:v>982.66666666666674</c:v>
                </c:pt>
                <c:pt idx="4">
                  <c:v>862.66666666666674</c:v>
                </c:pt>
                <c:pt idx="5">
                  <c:v>817.33333333333337</c:v>
                </c:pt>
                <c:pt idx="6">
                  <c:v>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26816"/>
        <c:axId val="161028352"/>
      </c:barChart>
      <c:catAx>
        <c:axId val="161026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028352"/>
        <c:crosses val="autoZero"/>
        <c:auto val="1"/>
        <c:lblAlgn val="ctr"/>
        <c:lblOffset val="100"/>
        <c:noMultiLvlLbl val="0"/>
      </c:catAx>
      <c:valAx>
        <c:axId val="161028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6102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Sheet18!$B$41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Sheet18!$C$37:$I$37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Sheet18!$C$41:$I$41</c:f>
              <c:numCache>
                <c:formatCode>#,##0</c:formatCode>
                <c:ptCount val="7"/>
                <c:pt idx="0">
                  <c:v>53958047</c:v>
                </c:pt>
                <c:pt idx="1">
                  <c:v>53385449</c:v>
                </c:pt>
                <c:pt idx="2">
                  <c:v>49687553</c:v>
                </c:pt>
                <c:pt idx="3">
                  <c:v>50016357</c:v>
                </c:pt>
                <c:pt idx="4">
                  <c:v>53711987</c:v>
                </c:pt>
                <c:pt idx="5">
                  <c:v>49958913</c:v>
                </c:pt>
                <c:pt idx="6">
                  <c:v>23140661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57408"/>
        <c:axId val="161067392"/>
      </c:barChart>
      <c:catAx>
        <c:axId val="161057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067392"/>
        <c:crosses val="autoZero"/>
        <c:auto val="1"/>
        <c:lblAlgn val="ctr"/>
        <c:lblOffset val="100"/>
        <c:noMultiLvlLbl val="0"/>
      </c:catAx>
      <c:valAx>
        <c:axId val="161067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6105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Sheet19!$B$38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Sheet19!$C$37:$K$37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Sheet19!$C$38:$K$38</c:f>
              <c:numCache>
                <c:formatCode>#,##0.0</c:formatCode>
                <c:ptCount val="9"/>
                <c:pt idx="0">
                  <c:v>78101.333333333343</c:v>
                </c:pt>
                <c:pt idx="1">
                  <c:v>53705.666666666664</c:v>
                </c:pt>
                <c:pt idx="2">
                  <c:v>53957.666666666664</c:v>
                </c:pt>
                <c:pt idx="3">
                  <c:v>36748.333333333336</c:v>
                </c:pt>
                <c:pt idx="4">
                  <c:v>39083.333333333336</c:v>
                </c:pt>
                <c:pt idx="5">
                  <c:v>38043</c:v>
                </c:pt>
                <c:pt idx="6">
                  <c:v>26471.666666666664</c:v>
                </c:pt>
                <c:pt idx="7">
                  <c:v>46715.333333333336</c:v>
                </c:pt>
                <c:pt idx="8">
                  <c:v>6593.333333333333</c:v>
                </c:pt>
              </c:numCache>
            </c:numRef>
          </c:val>
        </c:ser>
        <c:ser>
          <c:idx val="1"/>
          <c:order val="1"/>
          <c:tx>
            <c:strRef>
              <c:f>Sheet19!$B$39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Sheet19!$C$37:$K$37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Sheet19!$C$39:$K$39</c:f>
              <c:numCache>
                <c:formatCode>#,##0.0</c:formatCode>
                <c:ptCount val="9"/>
                <c:pt idx="0">
                  <c:v>146922.66666666663</c:v>
                </c:pt>
                <c:pt idx="1">
                  <c:v>90370</c:v>
                </c:pt>
                <c:pt idx="2">
                  <c:v>89222.333333333343</c:v>
                </c:pt>
                <c:pt idx="3">
                  <c:v>61432.999999999993</c:v>
                </c:pt>
                <c:pt idx="4">
                  <c:v>58598.333333333336</c:v>
                </c:pt>
                <c:pt idx="5">
                  <c:v>58911.333333333328</c:v>
                </c:pt>
                <c:pt idx="6">
                  <c:v>74276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74400"/>
        <c:axId val="167978112"/>
      </c:barChart>
      <c:catAx>
        <c:axId val="162774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7978112"/>
        <c:crosses val="autoZero"/>
        <c:auto val="1"/>
        <c:lblAlgn val="ctr"/>
        <c:lblOffset val="100"/>
        <c:noMultiLvlLbl val="0"/>
      </c:catAx>
      <c:valAx>
        <c:axId val="167978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6277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Sheet19!$B$41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Sheet19!$C$37:$I$37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Sheet19!$C$41:$I$41</c:f>
              <c:numCache>
                <c:formatCode>#,##0</c:formatCode>
                <c:ptCount val="7"/>
                <c:pt idx="0">
                  <c:v>9844168140</c:v>
                </c:pt>
                <c:pt idx="1">
                  <c:v>9798781115</c:v>
                </c:pt>
                <c:pt idx="2">
                  <c:v>9494799823</c:v>
                </c:pt>
                <c:pt idx="3">
                  <c:v>9536735418</c:v>
                </c:pt>
                <c:pt idx="4">
                  <c:v>9823666695</c:v>
                </c:pt>
                <c:pt idx="5">
                  <c:v>9531222623</c:v>
                </c:pt>
                <c:pt idx="6">
                  <c:v>7495178217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15360"/>
        <c:axId val="168016896"/>
      </c:barChart>
      <c:catAx>
        <c:axId val="168015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8016896"/>
        <c:crosses val="autoZero"/>
        <c:auto val="1"/>
        <c:lblAlgn val="ctr"/>
        <c:lblOffset val="100"/>
        <c:noMultiLvlLbl val="0"/>
      </c:catAx>
      <c:valAx>
        <c:axId val="168016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6801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Sheet2!$B$41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Sheet2!$C$37:$I$37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Sheet2!$C$41:$I$41</c:f>
              <c:numCache>
                <c:formatCode>#,##0</c:formatCode>
                <c:ptCount val="7"/>
                <c:pt idx="0">
                  <c:v>110</c:v>
                </c:pt>
                <c:pt idx="1">
                  <c:v>140</c:v>
                </c:pt>
                <c:pt idx="2">
                  <c:v>74</c:v>
                </c:pt>
                <c:pt idx="3">
                  <c:v>74</c:v>
                </c:pt>
                <c:pt idx="4">
                  <c:v>141</c:v>
                </c:pt>
                <c:pt idx="5">
                  <c:v>54</c:v>
                </c:pt>
                <c:pt idx="6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43552"/>
        <c:axId val="156745088"/>
      </c:barChart>
      <c:catAx>
        <c:axId val="156743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745088"/>
        <c:crosses val="autoZero"/>
        <c:auto val="1"/>
        <c:lblAlgn val="ctr"/>
        <c:lblOffset val="100"/>
        <c:noMultiLvlLbl val="0"/>
      </c:catAx>
      <c:valAx>
        <c:axId val="156745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674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Sheet3!$C$37:$K$37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Sheet3!$C$38:$K$38</c:f>
              <c:numCache>
                <c:formatCode>#,##0.0</c:formatCode>
                <c:ptCount val="9"/>
                <c:pt idx="0">
                  <c:v>165.66666666666666</c:v>
                </c:pt>
                <c:pt idx="1">
                  <c:v>46.333333333333336</c:v>
                </c:pt>
                <c:pt idx="2">
                  <c:v>45</c:v>
                </c:pt>
                <c:pt idx="3">
                  <c:v>166.66666666666666</c:v>
                </c:pt>
                <c:pt idx="4">
                  <c:v>83</c:v>
                </c:pt>
                <c:pt idx="5">
                  <c:v>83.333333333333329</c:v>
                </c:pt>
                <c:pt idx="6">
                  <c:v>73.666666666666671</c:v>
                </c:pt>
                <c:pt idx="7">
                  <c:v>15</c:v>
                </c:pt>
                <c:pt idx="8">
                  <c:v>21</c:v>
                </c:pt>
              </c:numCache>
            </c:numRef>
          </c:val>
        </c:ser>
        <c:ser>
          <c:idx val="1"/>
          <c:order val="1"/>
          <c:tx>
            <c:strRef>
              <c:f>Sheet3!$B$39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Sheet3!$C$37:$K$37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Sheet3!$C$39:$K$39</c:f>
              <c:numCache>
                <c:formatCode>#,##0.0</c:formatCode>
                <c:ptCount val="9"/>
                <c:pt idx="0">
                  <c:v>244.33333333333334</c:v>
                </c:pt>
                <c:pt idx="1">
                  <c:v>68.333333333333314</c:v>
                </c:pt>
                <c:pt idx="2">
                  <c:v>64</c:v>
                </c:pt>
                <c:pt idx="3">
                  <c:v>181.33333333333334</c:v>
                </c:pt>
                <c:pt idx="4">
                  <c:v>47.333333333333343</c:v>
                </c:pt>
                <c:pt idx="5">
                  <c:v>41.666666666666671</c:v>
                </c:pt>
                <c:pt idx="6">
                  <c:v>68.999999999999986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84960"/>
        <c:axId val="156186496"/>
      </c:barChart>
      <c:catAx>
        <c:axId val="156184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186496"/>
        <c:crosses val="autoZero"/>
        <c:auto val="1"/>
        <c:lblAlgn val="ctr"/>
        <c:lblOffset val="100"/>
        <c:noMultiLvlLbl val="0"/>
      </c:catAx>
      <c:valAx>
        <c:axId val="156186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618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Sheet3!$B$41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Sheet3!$C$37:$I$37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Sheet3!$C$41:$I$41</c:f>
              <c:numCache>
                <c:formatCode>#,##0</c:formatCode>
                <c:ptCount val="7"/>
                <c:pt idx="0">
                  <c:v>4777768</c:v>
                </c:pt>
                <c:pt idx="1">
                  <c:v>4777780</c:v>
                </c:pt>
                <c:pt idx="2">
                  <c:v>4777768</c:v>
                </c:pt>
                <c:pt idx="3">
                  <c:v>4777780</c:v>
                </c:pt>
                <c:pt idx="4">
                  <c:v>4777780</c:v>
                </c:pt>
                <c:pt idx="5">
                  <c:v>4777768</c:v>
                </c:pt>
                <c:pt idx="6">
                  <c:v>2372376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07744"/>
        <c:axId val="156225920"/>
      </c:barChart>
      <c:catAx>
        <c:axId val="156207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225920"/>
        <c:crosses val="autoZero"/>
        <c:auto val="1"/>
        <c:lblAlgn val="ctr"/>
        <c:lblOffset val="100"/>
        <c:noMultiLvlLbl val="0"/>
      </c:catAx>
      <c:valAx>
        <c:axId val="15622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620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Sheet4!$C$37:$K$37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Sheet4!$C$38:$K$38</c:f>
              <c:numCache>
                <c:formatCode>#,##0.0</c:formatCode>
                <c:ptCount val="9"/>
                <c:pt idx="0">
                  <c:v>957.00000000000011</c:v>
                </c:pt>
                <c:pt idx="1">
                  <c:v>427.66666666666674</c:v>
                </c:pt>
                <c:pt idx="2">
                  <c:v>417</c:v>
                </c:pt>
                <c:pt idx="3">
                  <c:v>483.66666666666669</c:v>
                </c:pt>
                <c:pt idx="4">
                  <c:v>276</c:v>
                </c:pt>
                <c:pt idx="5">
                  <c:v>281</c:v>
                </c:pt>
                <c:pt idx="6">
                  <c:v>409</c:v>
                </c:pt>
                <c:pt idx="7">
                  <c:v>146.66666666666666</c:v>
                </c:pt>
                <c:pt idx="8">
                  <c:v>72.666666666666671</c:v>
                </c:pt>
              </c:numCache>
            </c:numRef>
          </c:val>
        </c:ser>
        <c:ser>
          <c:idx val="1"/>
          <c:order val="1"/>
          <c:tx>
            <c:strRef>
              <c:f>Sheet4!$B$39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Sheet4!$C$37:$K$37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Sheet4!$C$39:$K$39</c:f>
              <c:numCache>
                <c:formatCode>#,##0.0</c:formatCode>
                <c:ptCount val="9"/>
                <c:pt idx="0">
                  <c:v>2241.3333333333335</c:v>
                </c:pt>
                <c:pt idx="1">
                  <c:v>558.33333333333337</c:v>
                </c:pt>
                <c:pt idx="2">
                  <c:v>561.00000000000011</c:v>
                </c:pt>
                <c:pt idx="3">
                  <c:v>504.33333333333331</c:v>
                </c:pt>
                <c:pt idx="4">
                  <c:v>217.66666666666669</c:v>
                </c:pt>
                <c:pt idx="5">
                  <c:v>223</c:v>
                </c:pt>
                <c:pt idx="6">
                  <c:v>536.66666666666663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63488"/>
        <c:axId val="157000448"/>
      </c:barChart>
      <c:catAx>
        <c:axId val="156863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000448"/>
        <c:crosses val="autoZero"/>
        <c:auto val="1"/>
        <c:lblAlgn val="ctr"/>
        <c:lblOffset val="100"/>
        <c:noMultiLvlLbl val="0"/>
      </c:catAx>
      <c:valAx>
        <c:axId val="157000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686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Sheet4!$B$41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Sheet4!$C$37:$I$37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Sheet4!$C$41:$I$41</c:f>
              <c:numCache>
                <c:formatCode>#,##0</c:formatCode>
                <c:ptCount val="7"/>
                <c:pt idx="0">
                  <c:v>49777768</c:v>
                </c:pt>
                <c:pt idx="1">
                  <c:v>49777780</c:v>
                </c:pt>
                <c:pt idx="2">
                  <c:v>49777768</c:v>
                </c:pt>
                <c:pt idx="3">
                  <c:v>49777780</c:v>
                </c:pt>
                <c:pt idx="4">
                  <c:v>49777780</c:v>
                </c:pt>
                <c:pt idx="5">
                  <c:v>49777768</c:v>
                </c:pt>
                <c:pt idx="6">
                  <c:v>24872376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37312"/>
        <c:axId val="157038848"/>
      </c:barChart>
      <c:catAx>
        <c:axId val="157037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038848"/>
        <c:crosses val="autoZero"/>
        <c:auto val="1"/>
        <c:lblAlgn val="ctr"/>
        <c:lblOffset val="100"/>
        <c:noMultiLvlLbl val="0"/>
      </c:catAx>
      <c:valAx>
        <c:axId val="157038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703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Sheet5!$C$37:$K$37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Sheet5!$C$38:$K$38</c:f>
              <c:numCache>
                <c:formatCode>#,##0.0</c:formatCode>
                <c:ptCount val="9"/>
                <c:pt idx="0">
                  <c:v>8765.3333333333339</c:v>
                </c:pt>
                <c:pt idx="1">
                  <c:v>4259.666666666667</c:v>
                </c:pt>
                <c:pt idx="2">
                  <c:v>4205.333333333333</c:v>
                </c:pt>
                <c:pt idx="3">
                  <c:v>3109.3333333333335</c:v>
                </c:pt>
                <c:pt idx="4">
                  <c:v>2147.6666666666665</c:v>
                </c:pt>
                <c:pt idx="5">
                  <c:v>2194.3333333333335</c:v>
                </c:pt>
                <c:pt idx="6">
                  <c:v>3305</c:v>
                </c:pt>
                <c:pt idx="7">
                  <c:v>1530</c:v>
                </c:pt>
                <c:pt idx="8">
                  <c:v>379.66666666666669</c:v>
                </c:pt>
              </c:numCache>
            </c:numRef>
          </c:val>
        </c:ser>
        <c:ser>
          <c:idx val="1"/>
          <c:order val="1"/>
          <c:tx>
            <c:strRef>
              <c:f>Sheet5!$B$39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Sheet5!$C$37:$K$37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Sheet5!$C$39:$K$39</c:f>
              <c:numCache>
                <c:formatCode>#,##0.0</c:formatCode>
                <c:ptCount val="9"/>
                <c:pt idx="0">
                  <c:v>20894.333333333336</c:v>
                </c:pt>
                <c:pt idx="1">
                  <c:v>5500.333333333333</c:v>
                </c:pt>
                <c:pt idx="2">
                  <c:v>5549.0000000000009</c:v>
                </c:pt>
                <c:pt idx="3">
                  <c:v>3515.3333333333335</c:v>
                </c:pt>
                <c:pt idx="4">
                  <c:v>1913.666666666667</c:v>
                </c:pt>
                <c:pt idx="5">
                  <c:v>1846.333333333333</c:v>
                </c:pt>
                <c:pt idx="6">
                  <c:v>6132.3333333333339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54336"/>
        <c:axId val="157455872"/>
      </c:barChart>
      <c:catAx>
        <c:axId val="157454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455872"/>
        <c:crosses val="autoZero"/>
        <c:auto val="1"/>
        <c:lblAlgn val="ctr"/>
        <c:lblOffset val="100"/>
        <c:noMultiLvlLbl val="0"/>
      </c:catAx>
      <c:valAx>
        <c:axId val="157455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745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erialization" displayName="Serialization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8" name="Table18" displayName="Table18" ref="B37:K41" totalsRowShown="0">
  <autoFilter ref="B37:K41"/>
  <tableColumns count="10">
    <tableColumn id="1" name="Average"/>
    <tableColumn id="2" name="Newtonsoft.Json" dataDxfId="271">
      <calculatedColumnFormula>AverageNumbers[](Serialization[Newtonsoft (duration)])</calculatedColumnFormula>
    </tableColumn>
    <tableColumn id="3" name=".Net baked full" dataDxfId="270"/>
    <tableColumn id="4" name=".Net baked minimal" dataDxfId="269"/>
    <tableColumn id="8" name="Jackson" dataDxfId="268"/>
    <tableColumn id="7" name="JVM baked full" dataDxfId="267"/>
    <tableColumn id="5" name="JVM baked minimal" dataDxfId="266"/>
    <tableColumn id="6" name="Protobuf.NET" dataDxfId="265"/>
    <tableColumn id="9" name=".NET (instance only)" dataDxfId="264">
      <calculatedColumnFormula>AVERAGE(Both[.NET (instance only)])</calculatedColumnFormula>
    </tableColumn>
    <tableColumn id="10" name="JVM (instance only)" dataDxfId="263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Table17" displayName="Table17" ref="B45:I47" totalsRowShown="0">
  <autoFilter ref="B45:I47"/>
  <tableColumns count="8">
    <tableColumn id="1" name="Deviation"/>
    <tableColumn id="2" name="Newtonsoft.Json" dataDxfId="262">
      <calculatedColumnFormula>AverageNumbers[](Serialization[Newtonsoft (duration)])</calculatedColumnFormula>
    </tableColumn>
    <tableColumn id="3" name=".Net baked full" dataDxfId="261"/>
    <tableColumn id="4" name=".Net baked minimal" dataDxfId="260"/>
    <tableColumn id="5" name="Jackson" dataDxfId="259"/>
    <tableColumn id="6" name="JVM baked full" dataDxfId="258"/>
    <tableColumn id="7" name="JVM baked minimal" dataDxfId="257"/>
    <tableColumn id="8" name="Protobuf.NET" dataDxfId="25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Table16" displayName="Table16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9" name="Table19" displayName="Table19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2" name="Table22" displayName="Table22" ref="B37:K41" totalsRowShown="0">
  <autoFilter ref="B37:K41"/>
  <tableColumns count="10">
    <tableColumn id="1" name="Average"/>
    <tableColumn id="2" name="Newtonsoft.Json" dataDxfId="255">
      <calculatedColumnFormula>AverageNumbers[](Serialization[Newtonsoft (duration)])</calculatedColumnFormula>
    </tableColumn>
    <tableColumn id="3" name=".Net baked full" dataDxfId="254"/>
    <tableColumn id="4" name=".Net baked minimal" dataDxfId="253"/>
    <tableColumn id="8" name="Jackson" dataDxfId="252"/>
    <tableColumn id="7" name="JVM baked full" dataDxfId="251"/>
    <tableColumn id="5" name="JVM baked minimal" dataDxfId="250"/>
    <tableColumn id="6" name="Protobuf.NET" dataDxfId="249"/>
    <tableColumn id="9" name=".NET (instance only)" dataDxfId="248">
      <calculatedColumnFormula>AVERAGE(Both[.NET (instance only)])</calculatedColumnFormula>
    </tableColumn>
    <tableColumn id="10" name="JVM (instance only)" dataDxfId="24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1" name="Table21" displayName="Table21" ref="B45:I47" totalsRowShown="0">
  <autoFilter ref="B45:I47"/>
  <tableColumns count="8">
    <tableColumn id="1" name="Deviation"/>
    <tableColumn id="2" name="Newtonsoft.Json" dataDxfId="246">
      <calculatedColumnFormula>AverageNumbers[](Serialization[Newtonsoft (duration)])</calculatedColumnFormula>
    </tableColumn>
    <tableColumn id="3" name=".Net baked full" dataDxfId="245"/>
    <tableColumn id="4" name=".Net baked minimal" dataDxfId="244"/>
    <tableColumn id="5" name="Jackson" dataDxfId="243"/>
    <tableColumn id="6" name="JVM baked full" dataDxfId="242"/>
    <tableColumn id="7" name="JVM baked minimal" dataDxfId="241"/>
    <tableColumn id="8" name="Protobuf.NET" dataDxfId="24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Table20" displayName="Table20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3" name="Table23" displayName="Table23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6" name="Table26" displayName="Table26" ref="B37:K41" totalsRowShown="0">
  <autoFilter ref="B37:K41"/>
  <tableColumns count="10">
    <tableColumn id="1" name="Average"/>
    <tableColumn id="2" name="Newtonsoft.Json" dataDxfId="239">
      <calculatedColumnFormula>AverageNumbers[](Serialization[Newtonsoft (duration)])</calculatedColumnFormula>
    </tableColumn>
    <tableColumn id="3" name=".Net baked full" dataDxfId="238"/>
    <tableColumn id="4" name=".Net baked minimal" dataDxfId="237"/>
    <tableColumn id="8" name="Jackson" dataDxfId="236"/>
    <tableColumn id="7" name="JVM baked full" dataDxfId="235"/>
    <tableColumn id="5" name="JVM baked minimal" dataDxfId="234"/>
    <tableColumn id="6" name="Protobuf.NET" dataDxfId="233"/>
    <tableColumn id="9" name=".NET (instance only)" dataDxfId="232">
      <calculatedColumnFormula>AVERAGE(Both[.NET (instance only)])</calculatedColumnFormula>
    </tableColumn>
    <tableColumn id="10" name="JVM (instance only)" dataDxfId="231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5" name="Table25" displayName="Table25" ref="B45:I47" totalsRowShown="0">
  <autoFilter ref="B45:I47"/>
  <tableColumns count="8">
    <tableColumn id="1" name="Deviation"/>
    <tableColumn id="2" name="Newtonsoft.Json" dataDxfId="230">
      <calculatedColumnFormula>AverageNumbers[](Serialization[Newtonsoft (duration)])</calculatedColumnFormula>
    </tableColumn>
    <tableColumn id="3" name=".Net baked full" dataDxfId="229"/>
    <tableColumn id="4" name=".Net baked minimal" dataDxfId="228"/>
    <tableColumn id="5" name="Jackson" dataDxfId="227"/>
    <tableColumn id="6" name="JVM baked full" dataDxfId="226"/>
    <tableColumn id="7" name="JVM baked minimal" dataDxfId="225"/>
    <tableColumn id="8" name="Protobuf.NET" dataDxfId="2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verageNumbers" displayName="AverageNumbers" ref="B37:K41" totalsRowShown="0">
  <autoFilter ref="B37:K41"/>
  <tableColumns count="10">
    <tableColumn id="1" name="Average"/>
    <tableColumn id="2" name="Newtonsoft.Json" dataDxfId="303">
      <calculatedColumnFormula>AverageNumbers[](Serialization[Newtonsoft (duration)])</calculatedColumnFormula>
    </tableColumn>
    <tableColumn id="3" name=".Net baked full" dataDxfId="302"/>
    <tableColumn id="4" name=".Net baked minimal" dataDxfId="301"/>
    <tableColumn id="8" name="Jackson" dataDxfId="300"/>
    <tableColumn id="7" name="JVM baked full" dataDxfId="299"/>
    <tableColumn id="5" name="JVM baked minimal" dataDxfId="298"/>
    <tableColumn id="6" name="Protobuf.NET" dataDxfId="297"/>
    <tableColumn id="9" name=".NET (instance only)" dataDxfId="296">
      <calculatedColumnFormula>AVERAGE(Both[.NET (instance only)])</calculatedColumnFormula>
    </tableColumn>
    <tableColumn id="10" name="JVM (instance only)" dataDxfId="295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4" name="Table24" displayName="Table24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7" name="Table27" displayName="Table27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0" name="Table30" displayName="Table30" ref="B37:K41" totalsRowShown="0">
  <autoFilter ref="B37:K41"/>
  <tableColumns count="10">
    <tableColumn id="1" name="Average"/>
    <tableColumn id="2" name="Newtonsoft.Json" dataDxfId="223">
      <calculatedColumnFormula>AverageNumbers[](Serialization[Newtonsoft (duration)])</calculatedColumnFormula>
    </tableColumn>
    <tableColumn id="3" name=".Net baked full" dataDxfId="222"/>
    <tableColumn id="4" name=".Net baked minimal" dataDxfId="221"/>
    <tableColumn id="8" name="Jackson" dataDxfId="220"/>
    <tableColumn id="7" name="JVM baked full" dataDxfId="219"/>
    <tableColumn id="5" name="JVM baked minimal" dataDxfId="218"/>
    <tableColumn id="6" name="Protobuf.NET" dataDxfId="217"/>
    <tableColumn id="9" name=".NET (instance only)" dataDxfId="216">
      <calculatedColumnFormula>AVERAGE(Both[.NET (instance only)])</calculatedColumnFormula>
    </tableColumn>
    <tableColumn id="10" name="JVM (instance only)" dataDxfId="215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9" name="Table29" displayName="Table29" ref="B45:I47" totalsRowShown="0">
  <autoFilter ref="B45:I47"/>
  <tableColumns count="8">
    <tableColumn id="1" name="Deviation"/>
    <tableColumn id="2" name="Newtonsoft.Json" dataDxfId="214">
      <calculatedColumnFormula>AverageNumbers[](Serialization[Newtonsoft (duration)])</calculatedColumnFormula>
    </tableColumn>
    <tableColumn id="3" name=".Net baked full" dataDxfId="213"/>
    <tableColumn id="4" name=".Net baked minimal" dataDxfId="212"/>
    <tableColumn id="5" name="Jackson" dataDxfId="211"/>
    <tableColumn id="6" name="JVM baked full" dataDxfId="210"/>
    <tableColumn id="7" name="JVM baked minimal" dataDxfId="209"/>
    <tableColumn id="8" name="Protobuf.NET" dataDxfId="20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8" name="Table28" displayName="Table28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1" name="Table31" displayName="Table31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4" name="Table34" displayName="Table34" ref="B37:K41" totalsRowShown="0">
  <autoFilter ref="B37:K41"/>
  <tableColumns count="10">
    <tableColumn id="1" name="Average"/>
    <tableColumn id="2" name="Newtonsoft.Json" dataDxfId="207">
      <calculatedColumnFormula>AverageNumbers[](Serialization[Newtonsoft (duration)])</calculatedColumnFormula>
    </tableColumn>
    <tableColumn id="3" name=".Net baked full" dataDxfId="206"/>
    <tableColumn id="4" name=".Net baked minimal" dataDxfId="205"/>
    <tableColumn id="8" name="Jackson" dataDxfId="204"/>
    <tableColumn id="7" name="JVM baked full" dataDxfId="203"/>
    <tableColumn id="5" name="JVM baked minimal" dataDxfId="202"/>
    <tableColumn id="6" name="Protobuf.NET" dataDxfId="201"/>
    <tableColumn id="9" name=".NET (instance only)" dataDxfId="200">
      <calculatedColumnFormula>AVERAGE(Both[.NET (instance only)])</calculatedColumnFormula>
    </tableColumn>
    <tableColumn id="10" name="JVM (instance only)" dataDxfId="199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3" name="Table33" displayName="Table33" ref="B45:I47" totalsRowShown="0">
  <autoFilter ref="B45:I47"/>
  <tableColumns count="8">
    <tableColumn id="1" name="Deviation"/>
    <tableColumn id="2" name="Newtonsoft.Json" dataDxfId="198">
      <calculatedColumnFormula>AverageNumbers[](Serialization[Newtonsoft (duration)])</calculatedColumnFormula>
    </tableColumn>
    <tableColumn id="3" name=".Net baked full" dataDxfId="197"/>
    <tableColumn id="4" name=".Net baked minimal" dataDxfId="196"/>
    <tableColumn id="5" name="Jackson" dataDxfId="195"/>
    <tableColumn id="6" name="JVM baked full" dataDxfId="194"/>
    <tableColumn id="7" name="JVM baked minimal" dataDxfId="193"/>
    <tableColumn id="8" name="Protobuf.NET" dataDxfId="19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2" name="Table32" displayName="Table32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5" name="Table35" displayName="Table35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eviationNumbers" displayName="DeviationNumbers" ref="B45:I47" totalsRowShown="0">
  <autoFilter ref="B45:I47"/>
  <tableColumns count="8">
    <tableColumn id="1" name="Deviation"/>
    <tableColumn id="2" name="Newtonsoft.Json" dataDxfId="294">
      <calculatedColumnFormula>AverageNumbers[](Serialization[Newtonsoft (duration)])</calculatedColumnFormula>
    </tableColumn>
    <tableColumn id="3" name=".Net baked full" dataDxfId="293"/>
    <tableColumn id="4" name=".Net baked minimal" dataDxfId="292"/>
    <tableColumn id="5" name="Jackson" dataDxfId="291"/>
    <tableColumn id="6" name="JVM baked full" dataDxfId="290"/>
    <tableColumn id="7" name="JVM baked minimal" dataDxfId="289"/>
    <tableColumn id="8" name="Protobuf.NET" dataDxfId="28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8" name="Table38" displayName="Table38" ref="B37:K41" totalsRowShown="0">
  <autoFilter ref="B37:K41"/>
  <tableColumns count="10">
    <tableColumn id="1" name="Average"/>
    <tableColumn id="2" name="Newtonsoft.Json" dataDxfId="191">
      <calculatedColumnFormula>AverageNumbers[](Serialization[Newtonsoft (duration)])</calculatedColumnFormula>
    </tableColumn>
    <tableColumn id="3" name=".Net baked full" dataDxfId="190"/>
    <tableColumn id="4" name=".Net baked minimal" dataDxfId="189"/>
    <tableColumn id="8" name="Jackson" dataDxfId="188"/>
    <tableColumn id="7" name="JVM baked full" dataDxfId="187"/>
    <tableColumn id="5" name="JVM baked minimal" dataDxfId="186"/>
    <tableColumn id="6" name="Protobuf.NET" dataDxfId="185"/>
    <tableColumn id="9" name=".NET (instance only)" dataDxfId="184">
      <calculatedColumnFormula>AVERAGE(Both[.NET (instance only)])</calculatedColumnFormula>
    </tableColumn>
    <tableColumn id="10" name="JVM (instance only)" dataDxfId="183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7" name="Table37" displayName="Table37" ref="B45:I47" totalsRowShown="0">
  <autoFilter ref="B45:I47"/>
  <tableColumns count="8">
    <tableColumn id="1" name="Deviation"/>
    <tableColumn id="2" name="Newtonsoft.Json" dataDxfId="182">
      <calculatedColumnFormula>AverageNumbers[](Serialization[Newtonsoft (duration)])</calculatedColumnFormula>
    </tableColumn>
    <tableColumn id="3" name=".Net baked full" dataDxfId="181"/>
    <tableColumn id="4" name=".Net baked minimal" dataDxfId="180"/>
    <tableColumn id="5" name="Jackson" dataDxfId="179"/>
    <tableColumn id="6" name="JVM baked full" dataDxfId="178"/>
    <tableColumn id="7" name="JVM baked minimal" dataDxfId="177"/>
    <tableColumn id="8" name="Protobuf.NET" dataDxfId="176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6" name="Table36" displayName="Table36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9" name="Table39" displayName="Table39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42" name="Table42" displayName="Table42" ref="B37:K41" totalsRowShown="0">
  <autoFilter ref="B37:K41"/>
  <tableColumns count="10">
    <tableColumn id="1" name="Average"/>
    <tableColumn id="2" name="Newtonsoft.Json" dataDxfId="175">
      <calculatedColumnFormula>AverageNumbers[](Serialization[Newtonsoft (duration)])</calculatedColumnFormula>
    </tableColumn>
    <tableColumn id="3" name=".Net baked full" dataDxfId="174"/>
    <tableColumn id="4" name=".Net baked minimal" dataDxfId="173"/>
    <tableColumn id="8" name="Jackson" dataDxfId="172"/>
    <tableColumn id="7" name="JVM baked full" dataDxfId="171"/>
    <tableColumn id="5" name="JVM baked minimal" dataDxfId="170"/>
    <tableColumn id="6" name="Protobuf.NET" dataDxfId="169"/>
    <tableColumn id="9" name=".NET (instance only)" dataDxfId="168">
      <calculatedColumnFormula>AVERAGE(Both[.NET (instance only)])</calculatedColumnFormula>
    </tableColumn>
    <tableColumn id="10" name="JVM (instance only)" dataDxfId="16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41" name="Table41" displayName="Table41" ref="B45:I47" totalsRowShown="0">
  <autoFilter ref="B45:I47"/>
  <tableColumns count="8">
    <tableColumn id="1" name="Deviation"/>
    <tableColumn id="2" name="Newtonsoft.Json" dataDxfId="166">
      <calculatedColumnFormula>AverageNumbers[](Serialization[Newtonsoft (duration)])</calculatedColumnFormula>
    </tableColumn>
    <tableColumn id="3" name=".Net baked full" dataDxfId="165"/>
    <tableColumn id="4" name=".Net baked minimal" dataDxfId="164"/>
    <tableColumn id="5" name="Jackson" dataDxfId="163"/>
    <tableColumn id="6" name="JVM baked full" dataDxfId="162"/>
    <tableColumn id="7" name="JVM baked minimal" dataDxfId="161"/>
    <tableColumn id="8" name="Protobuf.NET" dataDxfId="160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40" name="Table40" displayName="Table40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43" name="Table43" displayName="Table43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6" name="Table46" displayName="Table46" ref="B37:K41" totalsRowShown="0">
  <autoFilter ref="B37:K41"/>
  <tableColumns count="10">
    <tableColumn id="1" name="Average"/>
    <tableColumn id="2" name="Newtonsoft.Json" dataDxfId="159">
      <calculatedColumnFormula>AverageNumbers[](Serialization[Newtonsoft (duration)])</calculatedColumnFormula>
    </tableColumn>
    <tableColumn id="3" name=".Net baked full" dataDxfId="158"/>
    <tableColumn id="4" name=".Net baked minimal" dataDxfId="157"/>
    <tableColumn id="8" name="Jackson" dataDxfId="156"/>
    <tableColumn id="7" name="JVM baked full" dataDxfId="155"/>
    <tableColumn id="5" name="JVM baked minimal" dataDxfId="154"/>
    <tableColumn id="6" name="Protobuf.NET" dataDxfId="153"/>
    <tableColumn id="9" name=".NET (instance only)" dataDxfId="152">
      <calculatedColumnFormula>AVERAGE(Both[.NET (instance only)])</calculatedColumnFormula>
    </tableColumn>
    <tableColumn id="10" name="JVM (instance only)" dataDxfId="151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5" name="Table45" displayName="Table45" ref="B45:I47" totalsRowShown="0">
  <autoFilter ref="B45:I47"/>
  <tableColumns count="8">
    <tableColumn id="1" name="Deviation"/>
    <tableColumn id="2" name="Newtonsoft.Json" dataDxfId="150">
      <calculatedColumnFormula>AverageNumbers[](Serialization[Newtonsoft (duration)])</calculatedColumnFormula>
    </tableColumn>
    <tableColumn id="3" name=".Net baked full" dataDxfId="149"/>
    <tableColumn id="4" name=".Net baked minimal" dataDxfId="148"/>
    <tableColumn id="5" name="Jackson" dataDxfId="147"/>
    <tableColumn id="6" name="JVM baked full" dataDxfId="146"/>
    <tableColumn id="7" name="JVM baked minimal" dataDxfId="145"/>
    <tableColumn id="8" name="Protobuf.NET" dataDxfId="1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Both" displayName="Both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4" name="Table44" displayName="Table44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47" name="Table47" displayName="Table47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50" name="Table50" displayName="Table50" ref="B37:K41" totalsRowShown="0">
  <autoFilter ref="B37:K41"/>
  <tableColumns count="10">
    <tableColumn id="1" name="Average"/>
    <tableColumn id="2" name="Newtonsoft.Json" dataDxfId="143">
      <calculatedColumnFormula>AverageNumbers[](Serialization[Newtonsoft (duration)])</calculatedColumnFormula>
    </tableColumn>
    <tableColumn id="3" name=".Net baked full" dataDxfId="142"/>
    <tableColumn id="4" name=".Net baked minimal" dataDxfId="141"/>
    <tableColumn id="8" name="Jackson" dataDxfId="140"/>
    <tableColumn id="7" name="JVM baked full" dataDxfId="139"/>
    <tableColumn id="5" name="JVM baked minimal" dataDxfId="138"/>
    <tableColumn id="6" name="Protobuf.NET" dataDxfId="137"/>
    <tableColumn id="9" name=".NET (instance only)" dataDxfId="136">
      <calculatedColumnFormula>AVERAGE(Both[.NET (instance only)])</calculatedColumnFormula>
    </tableColumn>
    <tableColumn id="10" name="JVM (instance only)" dataDxfId="135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49" name="Table49" displayName="Table49" ref="B45:I47" totalsRowShown="0">
  <autoFilter ref="B45:I47"/>
  <tableColumns count="8">
    <tableColumn id="1" name="Deviation"/>
    <tableColumn id="2" name="Newtonsoft.Json" dataDxfId="134">
      <calculatedColumnFormula>AverageNumbers[](Serialization[Newtonsoft (duration)])</calculatedColumnFormula>
    </tableColumn>
    <tableColumn id="3" name=".Net baked full" dataDxfId="133"/>
    <tableColumn id="4" name=".Net baked minimal" dataDxfId="132"/>
    <tableColumn id="5" name="Jackson" dataDxfId="131"/>
    <tableColumn id="6" name="JVM baked full" dataDxfId="130"/>
    <tableColumn id="7" name="JVM baked minimal" dataDxfId="129"/>
    <tableColumn id="8" name="Protobuf.NET" dataDxfId="128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48" name="Table48" displayName="Table48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51" name="Table51" displayName="Table51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54" name="Table54" displayName="Table54" ref="B37:K41" totalsRowShown="0">
  <autoFilter ref="B37:K41"/>
  <tableColumns count="10">
    <tableColumn id="1" name="Average"/>
    <tableColumn id="2" name="Newtonsoft.Json" dataDxfId="127">
      <calculatedColumnFormula>AverageNumbers[](Serialization[Newtonsoft (duration)])</calculatedColumnFormula>
    </tableColumn>
    <tableColumn id="3" name=".Net baked full" dataDxfId="126"/>
    <tableColumn id="4" name=".Net baked minimal" dataDxfId="125"/>
    <tableColumn id="8" name="Jackson" dataDxfId="124"/>
    <tableColumn id="7" name="JVM baked full" dataDxfId="123"/>
    <tableColumn id="5" name="JVM baked minimal" dataDxfId="122"/>
    <tableColumn id="6" name="Protobuf.NET" dataDxfId="121"/>
    <tableColumn id="9" name=".NET (instance only)" dataDxfId="120">
      <calculatedColumnFormula>AVERAGE(Both[.NET (instance only)])</calculatedColumnFormula>
    </tableColumn>
    <tableColumn id="10" name="JVM (instance only)" dataDxfId="119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53" name="Table53" displayName="Table53" ref="B45:I47" totalsRowShown="0">
  <autoFilter ref="B45:I47"/>
  <tableColumns count="8">
    <tableColumn id="1" name="Deviation"/>
    <tableColumn id="2" name="Newtonsoft.Json" dataDxfId="118">
      <calculatedColumnFormula>AverageNumbers[](Serialization[Newtonsoft (duration)])</calculatedColumnFormula>
    </tableColumn>
    <tableColumn id="3" name=".Net baked full" dataDxfId="117"/>
    <tableColumn id="4" name=".Net baked minimal" dataDxfId="116"/>
    <tableColumn id="5" name="Jackson" dataDxfId="115"/>
    <tableColumn id="6" name="JVM baked full" dataDxfId="114"/>
    <tableColumn id="7" name="JVM baked minimal" dataDxfId="113"/>
    <tableColumn id="8" name="Protobuf.NET" dataDxfId="112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2" name="Table52" displayName="Table52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55" name="Table55" displayName="Table55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58" name="Table58" displayName="Table58" ref="B37:K41" totalsRowShown="0">
  <autoFilter ref="B37:K41"/>
  <tableColumns count="10">
    <tableColumn id="1" name="Average"/>
    <tableColumn id="2" name="Newtonsoft.Json" dataDxfId="111">
      <calculatedColumnFormula>AverageNumbers[](Serialization[Newtonsoft (duration)])</calculatedColumnFormula>
    </tableColumn>
    <tableColumn id="3" name=".Net baked full" dataDxfId="110"/>
    <tableColumn id="4" name=".Net baked minimal" dataDxfId="109"/>
    <tableColumn id="8" name="Jackson" dataDxfId="108"/>
    <tableColumn id="7" name="JVM baked full" dataDxfId="107"/>
    <tableColumn id="5" name="JVM baked minimal" dataDxfId="106"/>
    <tableColumn id="6" name="Protobuf.NET" dataDxfId="105"/>
    <tableColumn id="9" name=".NET (instance only)" dataDxfId="104">
      <calculatedColumnFormula>AVERAGE(Both[.NET (instance only)])</calculatedColumnFormula>
    </tableColumn>
    <tableColumn id="10" name="JVM (instance only)" dataDxfId="103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57" name="Table57" displayName="Table57" ref="B45:I47" totalsRowShown="0">
  <autoFilter ref="B45:I47"/>
  <tableColumns count="8">
    <tableColumn id="1" name="Deviation"/>
    <tableColumn id="2" name="Newtonsoft.Json" dataDxfId="102">
      <calculatedColumnFormula>AverageNumbers[](Serialization[Newtonsoft (duration)])</calculatedColumnFormula>
    </tableColumn>
    <tableColumn id="3" name=".Net baked full" dataDxfId="101"/>
    <tableColumn id="4" name=".Net baked minimal" dataDxfId="100"/>
    <tableColumn id="5" name="Jackson" dataDxfId="99"/>
    <tableColumn id="6" name="JVM baked full" dataDxfId="98"/>
    <tableColumn id="7" name="JVM baked minimal" dataDxfId="97"/>
    <tableColumn id="8" name="Protobuf.NET" dataDxfId="96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56" name="Table56" displayName="Table56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59" name="Table59" displayName="Table59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62" name="Table62" displayName="Table62" ref="B37:K41" totalsRowShown="0">
  <autoFilter ref="B37:K41"/>
  <tableColumns count="10">
    <tableColumn id="1" name="Average"/>
    <tableColumn id="2" name="Newtonsoft.Json" dataDxfId="95">
      <calculatedColumnFormula>AverageNumbers[](Serialization[Newtonsoft (duration)])</calculatedColumnFormula>
    </tableColumn>
    <tableColumn id="3" name=".Net baked full" dataDxfId="94"/>
    <tableColumn id="4" name=".Net baked minimal" dataDxfId="93"/>
    <tableColumn id="8" name="Jackson" dataDxfId="92"/>
    <tableColumn id="7" name="JVM baked full" dataDxfId="91"/>
    <tableColumn id="5" name="JVM baked minimal" dataDxfId="90"/>
    <tableColumn id="6" name="Protobuf.NET" dataDxfId="89"/>
    <tableColumn id="9" name=".NET (instance only)" dataDxfId="88">
      <calculatedColumnFormula>AVERAGE(Both[.NET (instance only)])</calculatedColumnFormula>
    </tableColumn>
    <tableColumn id="10" name="JVM (instance only)" dataDxfId="8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61" name="Table61" displayName="Table61" ref="B45:I47" totalsRowShown="0">
  <autoFilter ref="B45:I47"/>
  <tableColumns count="8">
    <tableColumn id="1" name="Deviation"/>
    <tableColumn id="2" name="Newtonsoft.Json" dataDxfId="86">
      <calculatedColumnFormula>AverageNumbers[](Serialization[Newtonsoft (duration)])</calculatedColumnFormula>
    </tableColumn>
    <tableColumn id="3" name=".Net baked full" dataDxfId="85"/>
    <tableColumn id="4" name=".Net baked minimal" dataDxfId="84"/>
    <tableColumn id="5" name="Jackson" dataDxfId="83"/>
    <tableColumn id="6" name="JVM baked full" dataDxfId="82"/>
    <tableColumn id="7" name="JVM baked minimal" dataDxfId="81"/>
    <tableColumn id="8" name="Protobuf.NET" dataDxfId="80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60" name="Table60" displayName="Table60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63" name="Table63" displayName="Table63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66" name="Table66" displayName="Table66" ref="B37:K41" totalsRowShown="0">
  <autoFilter ref="B37:K41"/>
  <tableColumns count="10">
    <tableColumn id="1" name="Average"/>
    <tableColumn id="2" name="Newtonsoft.Json" dataDxfId="79">
      <calculatedColumnFormula>AverageNumbers[](Serialization[Newtonsoft (duration)])</calculatedColumnFormula>
    </tableColumn>
    <tableColumn id="3" name=".Net baked full" dataDxfId="78"/>
    <tableColumn id="4" name=".Net baked minimal" dataDxfId="77"/>
    <tableColumn id="8" name="Jackson" dataDxfId="76"/>
    <tableColumn id="7" name="JVM baked full" dataDxfId="75"/>
    <tableColumn id="5" name="JVM baked minimal" dataDxfId="74"/>
    <tableColumn id="6" name="Protobuf.NET" dataDxfId="73"/>
    <tableColumn id="9" name=".NET (instance only)" dataDxfId="72">
      <calculatedColumnFormula>AVERAGE(Both[.NET (instance only)])</calculatedColumnFormula>
    </tableColumn>
    <tableColumn id="10" name="JVM (instance only)" dataDxfId="71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65" name="Table65" displayName="Table65" ref="B45:I47" totalsRowShown="0">
  <autoFilter ref="B45:I47"/>
  <tableColumns count="8">
    <tableColumn id="1" name="Deviation"/>
    <tableColumn id="2" name="Newtonsoft.Json" dataDxfId="70">
      <calculatedColumnFormula>AverageNumbers[](Serialization[Newtonsoft (duration)])</calculatedColumnFormula>
    </tableColumn>
    <tableColumn id="3" name=".Net baked full" dataDxfId="69"/>
    <tableColumn id="4" name=".Net baked minimal" dataDxfId="68"/>
    <tableColumn id="5" name="Jackson" dataDxfId="67"/>
    <tableColumn id="6" name="JVM baked full" dataDxfId="66"/>
    <tableColumn id="7" name="JVM baked minimal" dataDxfId="65"/>
    <tableColumn id="8" name="Protobuf.NET" dataDxfId="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Table14" displayName="Table14" ref="B37:K41" totalsRowShown="0">
  <autoFilter ref="B37:K41"/>
  <tableColumns count="10">
    <tableColumn id="1" name="Average"/>
    <tableColumn id="2" name="Newtonsoft.Json" dataDxfId="287">
      <calculatedColumnFormula>AverageNumbers[](Serialization[Newtonsoft (duration)])</calculatedColumnFormula>
    </tableColumn>
    <tableColumn id="3" name=".Net baked full" dataDxfId="286"/>
    <tableColumn id="4" name=".Net baked minimal" dataDxfId="285"/>
    <tableColumn id="8" name="Jackson" dataDxfId="284"/>
    <tableColumn id="7" name="JVM baked full" dataDxfId="283"/>
    <tableColumn id="5" name="JVM baked minimal" dataDxfId="282"/>
    <tableColumn id="6" name="Protobuf.NET" dataDxfId="281"/>
    <tableColumn id="9" name=".NET (instance only)" dataDxfId="280">
      <calculatedColumnFormula>AVERAGE(Both[.NET (instance only)])</calculatedColumnFormula>
    </tableColumn>
    <tableColumn id="10" name="JVM (instance only)" dataDxfId="279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64" name="Table64" displayName="Table64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67" name="Table67" displayName="Table67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70" name="Table70" displayName="Table70" ref="B37:K41" totalsRowShown="0">
  <autoFilter ref="B37:K41"/>
  <tableColumns count="10">
    <tableColumn id="1" name="Average"/>
    <tableColumn id="2" name="Newtonsoft.Json" dataDxfId="63">
      <calculatedColumnFormula>AverageNumbers[](Serialization[Newtonsoft (duration)])</calculatedColumnFormula>
    </tableColumn>
    <tableColumn id="3" name=".Net baked full" dataDxfId="62"/>
    <tableColumn id="4" name=".Net baked minimal" dataDxfId="61"/>
    <tableColumn id="8" name="Jackson" dataDxfId="60"/>
    <tableColumn id="7" name="JVM baked full" dataDxfId="59"/>
    <tableColumn id="5" name="JVM baked minimal" dataDxfId="58"/>
    <tableColumn id="6" name="Protobuf.NET" dataDxfId="57"/>
    <tableColumn id="9" name=".NET (instance only)" dataDxfId="56">
      <calculatedColumnFormula>AVERAGE(Both[.NET (instance only)])</calculatedColumnFormula>
    </tableColumn>
    <tableColumn id="10" name="JVM (instance only)" dataDxfId="55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69" name="Table69" displayName="Table69" ref="B45:I47" totalsRowShown="0">
  <autoFilter ref="B45:I47"/>
  <tableColumns count="8">
    <tableColumn id="1" name="Deviation"/>
    <tableColumn id="2" name="Newtonsoft.Json" dataDxfId="54">
      <calculatedColumnFormula>AverageNumbers[](Serialization[Newtonsoft (duration)])</calculatedColumnFormula>
    </tableColumn>
    <tableColumn id="3" name=".Net baked full" dataDxfId="53"/>
    <tableColumn id="4" name=".Net baked minimal" dataDxfId="52"/>
    <tableColumn id="5" name="Jackson" dataDxfId="51"/>
    <tableColumn id="6" name="JVM baked full" dataDxfId="50"/>
    <tableColumn id="7" name="JVM baked minimal" dataDxfId="49"/>
    <tableColumn id="8" name="Protobuf.NET" dataDxfId="48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68" name="Table68" displayName="Table68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71" name="Table71" displayName="Table71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74" name="Table74" displayName="Table74" ref="B37:K41" totalsRowShown="0">
  <autoFilter ref="B37:K41"/>
  <tableColumns count="10">
    <tableColumn id="1" name="Average"/>
    <tableColumn id="2" name="Newtonsoft.Json" dataDxfId="47">
      <calculatedColumnFormula>AverageNumbers[](Serialization[Newtonsoft (duration)])</calculatedColumnFormula>
    </tableColumn>
    <tableColumn id="3" name=".Net baked full" dataDxfId="46"/>
    <tableColumn id="4" name=".Net baked minimal" dataDxfId="45"/>
    <tableColumn id="8" name="Jackson" dataDxfId="44"/>
    <tableColumn id="7" name="JVM baked full" dataDxfId="43"/>
    <tableColumn id="5" name="JVM baked minimal" dataDxfId="42"/>
    <tableColumn id="6" name="Protobuf.NET" dataDxfId="41"/>
    <tableColumn id="9" name=".NET (instance only)" dataDxfId="40">
      <calculatedColumnFormula>AVERAGE(Both[.NET (instance only)])</calculatedColumnFormula>
    </tableColumn>
    <tableColumn id="10" name="JVM (instance only)" dataDxfId="39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73" name="Table73" displayName="Table73" ref="B45:I47" totalsRowShown="0">
  <autoFilter ref="B45:I47"/>
  <tableColumns count="8">
    <tableColumn id="1" name="Deviation"/>
    <tableColumn id="2" name="Newtonsoft.Json" dataDxfId="38">
      <calculatedColumnFormula>AverageNumbers[](Serialization[Newtonsoft (duration)])</calculatedColumnFormula>
    </tableColumn>
    <tableColumn id="3" name=".Net baked full" dataDxfId="37"/>
    <tableColumn id="4" name=".Net baked minimal" dataDxfId="36"/>
    <tableColumn id="5" name="Jackson" dataDxfId="35"/>
    <tableColumn id="6" name="JVM baked full" dataDxfId="34"/>
    <tableColumn id="7" name="JVM baked minimal" dataDxfId="33"/>
    <tableColumn id="8" name="Protobuf.NET" dataDxfId="32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72" name="Table72" displayName="Table72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75" name="Table75" displayName="Table75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3" name="Table13" displayName="Table13" ref="B45:I47" totalsRowShown="0">
  <autoFilter ref="B45:I47"/>
  <tableColumns count="8">
    <tableColumn id="1" name="Deviation"/>
    <tableColumn id="2" name="Newtonsoft.Json" dataDxfId="278">
      <calculatedColumnFormula>AverageNumbers[](Serialization[Newtonsoft (duration)])</calculatedColumnFormula>
    </tableColumn>
    <tableColumn id="3" name=".Net baked full" dataDxfId="277"/>
    <tableColumn id="4" name=".Net baked minimal" dataDxfId="276"/>
    <tableColumn id="5" name="Jackson" dataDxfId="275"/>
    <tableColumn id="6" name="JVM baked full" dataDxfId="274"/>
    <tableColumn id="7" name="JVM baked minimal" dataDxfId="273"/>
    <tableColumn id="8" name="Protobuf.NET" dataDxfId="272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78" name="Table78" displayName="Table78" ref="B37:K41" totalsRowShown="0">
  <autoFilter ref="B37:K41"/>
  <tableColumns count="10">
    <tableColumn id="1" name="Average"/>
    <tableColumn id="2" name="Newtonsoft.Json" dataDxfId="31">
      <calculatedColumnFormula>AverageNumbers[](Serialization[Newtonsoft (duration)])</calculatedColumnFormula>
    </tableColumn>
    <tableColumn id="3" name=".Net baked full" dataDxfId="30"/>
    <tableColumn id="4" name=".Net baked minimal" dataDxfId="29"/>
    <tableColumn id="8" name="Jackson" dataDxfId="28"/>
    <tableColumn id="7" name="JVM baked full" dataDxfId="27"/>
    <tableColumn id="5" name="JVM baked minimal" dataDxfId="26"/>
    <tableColumn id="6" name="Protobuf.NET" dataDxfId="25"/>
    <tableColumn id="9" name=".NET (instance only)" dataDxfId="24">
      <calculatedColumnFormula>AVERAGE(Both[.NET (instance only)])</calculatedColumnFormula>
    </tableColumn>
    <tableColumn id="10" name="JVM (instance only)" dataDxfId="23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77" name="Table77" displayName="Table77" ref="B45:I47" totalsRowShown="0">
  <autoFilter ref="B45:I47"/>
  <tableColumns count="8">
    <tableColumn id="1" name="Deviation"/>
    <tableColumn id="2" name="Newtonsoft.Json" dataDxfId="22">
      <calculatedColumnFormula>AverageNumbers[](Serialization[Newtonsoft (duration)])</calculatedColumnFormula>
    </tableColumn>
    <tableColumn id="3" name=".Net baked full" dataDxfId="21"/>
    <tableColumn id="4" name=".Net baked minimal" dataDxfId="20"/>
    <tableColumn id="5" name="Jackson" dataDxfId="19"/>
    <tableColumn id="6" name="JVM baked full" dataDxfId="18"/>
    <tableColumn id="7" name="JVM baked minimal" dataDxfId="17"/>
    <tableColumn id="8" name="Protobuf.NET" dataDxfId="16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6" name="Table76" displayName="Table76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9" name="Table79" displayName="Table79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82" name="Table82" displayName="Table82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81" name="Table81" displayName="Table81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80" name="Table80" displayName="Table80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5" displayName="Table15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40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48.xml"/><Relationship Id="rId5" Type="http://schemas.openxmlformats.org/officeDocument/2006/relationships/table" Target="../tables/table47.xml"/><Relationship Id="rId4" Type="http://schemas.openxmlformats.org/officeDocument/2006/relationships/table" Target="../tables/table4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52.xml"/><Relationship Id="rId5" Type="http://schemas.openxmlformats.org/officeDocument/2006/relationships/table" Target="../tables/table51.xml"/><Relationship Id="rId4" Type="http://schemas.openxmlformats.org/officeDocument/2006/relationships/table" Target="../tables/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60.xml"/><Relationship Id="rId5" Type="http://schemas.openxmlformats.org/officeDocument/2006/relationships/table" Target="../tables/table59.xml"/><Relationship Id="rId4" Type="http://schemas.openxmlformats.org/officeDocument/2006/relationships/table" Target="../tables/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64.xml"/><Relationship Id="rId5" Type="http://schemas.openxmlformats.org/officeDocument/2006/relationships/table" Target="../tables/table63.xml"/><Relationship Id="rId4" Type="http://schemas.openxmlformats.org/officeDocument/2006/relationships/table" Target="../tables/table6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5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4" Type="http://schemas.openxmlformats.org/officeDocument/2006/relationships/table" Target="../tables/table6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9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72.xml"/><Relationship Id="rId5" Type="http://schemas.openxmlformats.org/officeDocument/2006/relationships/table" Target="../tables/table71.xml"/><Relationship Id="rId4" Type="http://schemas.openxmlformats.org/officeDocument/2006/relationships/table" Target="../tables/table7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3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table" Target="../tables/table76.xml"/><Relationship Id="rId5" Type="http://schemas.openxmlformats.org/officeDocument/2006/relationships/table" Target="../tables/table75.xml"/><Relationship Id="rId4" Type="http://schemas.openxmlformats.org/officeDocument/2006/relationships/table" Target="../tables/table7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39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AVERAGE(Table39[Newtonsoft (duration)]) - J38</f>
        <v>282.66666666666669</v>
      </c>
      <c r="D38" s="2">
        <f>AVERAGE(Table39[.NET baked full (duration)]) - J38</f>
        <v>109</v>
      </c>
      <c r="E38" s="2">
        <f>AVERAGE(Table39[.NET baked minimal (duration)]) - J38</f>
        <v>108</v>
      </c>
      <c r="F38" s="2">
        <f>AVERAGE(Table39[Jackson (duration)]) - J39</f>
        <v>197.33333333333334</v>
      </c>
      <c r="G38" s="2">
        <f>AVERAGE(Table39[JVM baked full (duration)]) - J39</f>
        <v>114.33333333333333</v>
      </c>
      <c r="H38" s="2">
        <f>AVERAGE(Table39[JVM baked minimal (duration)]) - J39</f>
        <v>109.33333333333333</v>
      </c>
      <c r="I38" s="2">
        <f>AVERAGE(Table39[Protobuf.NET (duration)]) - J38</f>
        <v>69</v>
      </c>
      <c r="J38" s="2">
        <f>AVERAGE(Table40[.NET (instance only)])</f>
        <v>114</v>
      </c>
      <c r="K38" s="2">
        <f>AVERAGE(Table40[JVM (instance only)])</f>
        <v>62.666666666666664</v>
      </c>
    </row>
    <row r="39" spans="2:11" x14ac:dyDescent="0.25">
      <c r="B39" t="s">
        <v>3</v>
      </c>
      <c r="C39" s="2">
        <f>C40-C38</f>
        <v>562.33333333333326</v>
      </c>
      <c r="D39" s="2">
        <f t="shared" ref="D39:I39" si="0">D40-D38</f>
        <v>104.33333333333331</v>
      </c>
      <c r="E39" s="2">
        <f t="shared" si="0"/>
        <v>103.33333333333331</v>
      </c>
      <c r="F39" s="2">
        <f t="shared" ref="F39:H39" si="1">F40-F38</f>
        <v>270.66666666666663</v>
      </c>
      <c r="G39" s="2">
        <f t="shared" si="1"/>
        <v>57.666666666666671</v>
      </c>
      <c r="H39" s="2">
        <f t="shared" si="1"/>
        <v>52.000000000000014</v>
      </c>
      <c r="I39" s="2">
        <f t="shared" si="0"/>
        <v>181.33333333333331</v>
      </c>
      <c r="J39" s="2"/>
      <c r="K39" s="2"/>
    </row>
    <row r="40" spans="2:11" x14ac:dyDescent="0.25">
      <c r="B40" t="s">
        <v>1</v>
      </c>
      <c r="C40" s="2">
        <f>AVERAGE(Table40[Newtonsoft (duration)]) - J38</f>
        <v>845</v>
      </c>
      <c r="D40" s="2">
        <f>AVERAGE(Table40[.NET baked full (duration)]) - J38</f>
        <v>213.33333333333331</v>
      </c>
      <c r="E40" s="2">
        <f>AVERAGE(Table40[.NET baked minimal (duration)]) - J38</f>
        <v>211.33333333333331</v>
      </c>
      <c r="F40" s="2">
        <f>AVERAGE(Table40[Jackson (duration)]) - J39</f>
        <v>468</v>
      </c>
      <c r="G40" s="2">
        <f>AVERAGE(Table40[JVM baked full (duration)]) - J39</f>
        <v>172</v>
      </c>
      <c r="H40" s="2">
        <f>AVERAGE(Table40[JVM baked minimal (duration)]) - J39</f>
        <v>161.33333333333334</v>
      </c>
      <c r="I40" s="2">
        <f>AVERAGE(Table40[Protobuf.NET (duration)]) - J38</f>
        <v>250.33333333333331</v>
      </c>
      <c r="J40" s="2"/>
      <c r="K40" s="2"/>
    </row>
    <row r="41" spans="2:11" x14ac:dyDescent="0.25">
      <c r="B41" t="s">
        <v>8</v>
      </c>
      <c r="C41" s="3">
        <f>AVERAGE(Table39[Newtonsoft (size)])</f>
        <v>12850253</v>
      </c>
      <c r="D41" s="3">
        <f>AVERAGE(Table39[.NET baked full (size)])</f>
        <v>11350260</v>
      </c>
      <c r="E41" s="3">
        <f>AVERAGE(Table39[.NET baked minimal (size)])</f>
        <v>11350260</v>
      </c>
      <c r="F41" s="3">
        <f>AVERAGE(Table39[Jackson (size)])</f>
        <v>11025974</v>
      </c>
      <c r="G41" s="3">
        <f>AVERAGE(Table39[JVM baked full (size)])</f>
        <v>11025975</v>
      </c>
      <c r="H41" s="3">
        <f>AVERAGE(Table39[JVM baked minimal (size)])</f>
        <v>10325975</v>
      </c>
      <c r="I41" s="3">
        <f>AVERAGE(Table39[Protobuf.NET (size)])</f>
        <v>7061367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DEVSQ(Table39[Newtonsoft (duration)])</f>
        <v>160.66666666666669</v>
      </c>
      <c r="D46" s="2">
        <f>DEVSQ(Table39[.NET baked full (duration)])</f>
        <v>6</v>
      </c>
      <c r="E46" s="2">
        <f>DEVSQ(Table39[.NET baked minimal (duration)])</f>
        <v>6</v>
      </c>
      <c r="F46" s="2">
        <f>DEVSQ(Table39[Jackson (duration)])</f>
        <v>160.66666666666666</v>
      </c>
      <c r="G46" s="2">
        <f>DEVSQ(Table39[JVM baked full (duration)])</f>
        <v>170.66666666666669</v>
      </c>
      <c r="H46" s="2">
        <f>DEVSQ(Table39[JVM baked minimal (duration)])</f>
        <v>0.66666666666666663</v>
      </c>
      <c r="I46" s="2">
        <f>DEVSQ(Table39[Protobuf.NET (duration)])</f>
        <v>24</v>
      </c>
    </row>
    <row r="47" spans="2:11" x14ac:dyDescent="0.25">
      <c r="B47" t="s">
        <v>1</v>
      </c>
      <c r="C47" s="2">
        <f>DEVSQ(Table40[Newtonsoft (duration)])</f>
        <v>74</v>
      </c>
      <c r="D47" s="2">
        <f>DEVSQ(Table40[.NET baked full (duration)])</f>
        <v>88.666666666666671</v>
      </c>
      <c r="E47" s="2">
        <f>DEVSQ(Table40[.NET baked minimal (duration)])</f>
        <v>2.666666666666667</v>
      </c>
      <c r="F47" s="2">
        <f>DEVSQ(Table40[Jackson (duration)])</f>
        <v>450</v>
      </c>
      <c r="G47" s="2">
        <f>DEVSQ(Table40[JVM baked full (duration)])</f>
        <v>0</v>
      </c>
      <c r="H47" s="2">
        <f>DEVSQ(Table40[JVM baked minimal (duration)])</f>
        <v>170.66666666666666</v>
      </c>
      <c r="I47" s="2">
        <f>DEVSQ(Table40[Protobuf.NET (duration)])</f>
        <v>0.66666666666666674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407</v>
      </c>
      <c r="C52">
        <v>12850253</v>
      </c>
      <c r="D52">
        <v>225</v>
      </c>
      <c r="E52">
        <v>11350260</v>
      </c>
      <c r="F52">
        <v>221</v>
      </c>
      <c r="G52">
        <v>11350260</v>
      </c>
      <c r="H52">
        <v>203</v>
      </c>
      <c r="I52">
        <v>11025974</v>
      </c>
      <c r="J52">
        <v>109</v>
      </c>
      <c r="K52">
        <v>11025975</v>
      </c>
      <c r="L52">
        <v>109</v>
      </c>
      <c r="M52">
        <v>10325975</v>
      </c>
      <c r="N52">
        <v>187</v>
      </c>
      <c r="O52">
        <v>7061367</v>
      </c>
    </row>
    <row r="53" spans="2:15" x14ac:dyDescent="0.25">
      <c r="B53">
        <v>392</v>
      </c>
      <c r="C53">
        <v>12850253</v>
      </c>
      <c r="D53">
        <v>222</v>
      </c>
      <c r="E53">
        <v>11350260</v>
      </c>
      <c r="F53">
        <v>224</v>
      </c>
      <c r="G53">
        <v>11350260</v>
      </c>
      <c r="H53">
        <v>187</v>
      </c>
      <c r="I53">
        <v>11025974</v>
      </c>
      <c r="J53">
        <v>125</v>
      </c>
      <c r="K53">
        <v>11025975</v>
      </c>
      <c r="L53">
        <v>109</v>
      </c>
      <c r="M53">
        <v>10325975</v>
      </c>
      <c r="N53">
        <v>181</v>
      </c>
      <c r="O53">
        <v>7061367</v>
      </c>
    </row>
    <row r="54" spans="2:15" x14ac:dyDescent="0.25">
      <c r="B54">
        <v>391</v>
      </c>
      <c r="C54">
        <v>12850253</v>
      </c>
      <c r="D54">
        <v>222</v>
      </c>
      <c r="E54">
        <v>11350260</v>
      </c>
      <c r="F54">
        <v>221</v>
      </c>
      <c r="G54">
        <v>11350260</v>
      </c>
      <c r="H54">
        <v>202</v>
      </c>
      <c r="I54">
        <v>11025974</v>
      </c>
      <c r="J54">
        <v>109</v>
      </c>
      <c r="K54">
        <v>11025975</v>
      </c>
      <c r="L54">
        <v>110</v>
      </c>
      <c r="M54">
        <v>10325975</v>
      </c>
      <c r="N54">
        <v>181</v>
      </c>
      <c r="O54">
        <v>7061367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956</v>
      </c>
      <c r="C58">
        <v>323</v>
      </c>
      <c r="D58">
        <v>324</v>
      </c>
      <c r="E58">
        <v>453</v>
      </c>
      <c r="F58">
        <v>172</v>
      </c>
      <c r="G58">
        <v>156</v>
      </c>
      <c r="H58">
        <v>365</v>
      </c>
      <c r="I58">
        <v>114</v>
      </c>
      <c r="J58">
        <v>63</v>
      </c>
    </row>
    <row r="59" spans="2:15" x14ac:dyDescent="0.25">
      <c r="B59">
        <v>966</v>
      </c>
      <c r="C59">
        <v>324</v>
      </c>
      <c r="D59">
        <v>326</v>
      </c>
      <c r="E59">
        <v>468</v>
      </c>
      <c r="F59">
        <v>172</v>
      </c>
      <c r="G59">
        <v>156</v>
      </c>
      <c r="H59">
        <v>364</v>
      </c>
      <c r="I59">
        <v>114</v>
      </c>
      <c r="J59">
        <v>63</v>
      </c>
    </row>
    <row r="60" spans="2:15" x14ac:dyDescent="0.25">
      <c r="B60">
        <v>955</v>
      </c>
      <c r="C60">
        <v>335</v>
      </c>
      <c r="D60">
        <v>326</v>
      </c>
      <c r="E60">
        <v>483</v>
      </c>
      <c r="F60">
        <v>172</v>
      </c>
      <c r="G60">
        <v>172</v>
      </c>
      <c r="H60">
        <v>364</v>
      </c>
      <c r="I60">
        <v>114</v>
      </c>
      <c r="J60">
        <v>62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40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AVERAGE(Table43[Newtonsoft (duration)]) - J38</f>
        <v>2780.333333333333</v>
      </c>
      <c r="D38" s="2">
        <f>AVERAGE(Table43[.NET baked full (duration)]) - J38</f>
        <v>1065.6666666666667</v>
      </c>
      <c r="E38" s="2">
        <f>AVERAGE(Table43[.NET baked minimal (duration)]) - J38</f>
        <v>1055.6666666666667</v>
      </c>
      <c r="F38" s="2">
        <f>AVERAGE(Table43[Jackson (duration)]) - J39</f>
        <v>1039.6666666666667</v>
      </c>
      <c r="G38" s="2">
        <f>AVERAGE(Table43[JVM baked full (duration)]) - J39</f>
        <v>603.33333333333337</v>
      </c>
      <c r="H38" s="2">
        <f>AVERAGE(Table43[JVM baked minimal (duration)]) - J39</f>
        <v>603</v>
      </c>
      <c r="I38" s="2">
        <f>AVERAGE(Table43[Protobuf.NET (duration)]) - J38</f>
        <v>719.33333333333326</v>
      </c>
      <c r="J38" s="2">
        <f>AVERAGE(Table44[.NET (instance only)])</f>
        <v>1155.6666666666667</v>
      </c>
      <c r="K38" s="2">
        <f>AVERAGE(Table44[JVM (instance only)])</f>
        <v>264.66666666666669</v>
      </c>
    </row>
    <row r="39" spans="2:11" x14ac:dyDescent="0.25">
      <c r="B39" t="s">
        <v>3</v>
      </c>
      <c r="C39" s="2">
        <f>C40-C38</f>
        <v>5825.0000000000009</v>
      </c>
      <c r="D39" s="2">
        <f t="shared" ref="D39:I39" si="0">D40-D38</f>
        <v>1021.0000000000002</v>
      </c>
      <c r="E39" s="2">
        <f t="shared" si="0"/>
        <v>1038.6666666666663</v>
      </c>
      <c r="F39" s="2">
        <f t="shared" ref="F39:H39" si="1">F40-F38</f>
        <v>1653.9999999999998</v>
      </c>
      <c r="G39" s="2">
        <f t="shared" si="1"/>
        <v>400.33333333333326</v>
      </c>
      <c r="H39" s="2">
        <f t="shared" si="1"/>
        <v>364.66666666666663</v>
      </c>
      <c r="I39" s="2">
        <f t="shared" si="0"/>
        <v>1851.9999999999998</v>
      </c>
      <c r="J39" s="2"/>
      <c r="K39" s="2"/>
    </row>
    <row r="40" spans="2:11" x14ac:dyDescent="0.25">
      <c r="B40" t="s">
        <v>1</v>
      </c>
      <c r="C40" s="2">
        <f>AVERAGE(Table44[Newtonsoft (duration)]) - J38</f>
        <v>8605.3333333333339</v>
      </c>
      <c r="D40" s="2">
        <f>AVERAGE(Table44[.NET baked full (duration)]) - J38</f>
        <v>2086.666666666667</v>
      </c>
      <c r="E40" s="2">
        <f>AVERAGE(Table44[.NET baked minimal (duration)]) - J38</f>
        <v>2094.333333333333</v>
      </c>
      <c r="F40" s="2">
        <f>AVERAGE(Table44[Jackson (duration)]) - J39</f>
        <v>2693.6666666666665</v>
      </c>
      <c r="G40" s="2">
        <f>AVERAGE(Table44[JVM baked full (duration)]) - J39</f>
        <v>1003.6666666666666</v>
      </c>
      <c r="H40" s="2">
        <f>AVERAGE(Table44[JVM baked minimal (duration)]) - J39</f>
        <v>967.66666666666663</v>
      </c>
      <c r="I40" s="2">
        <f>AVERAGE(Table44[Protobuf.NET (duration)]) - J38</f>
        <v>2571.333333333333</v>
      </c>
      <c r="J40" s="2"/>
      <c r="K40" s="2"/>
    </row>
    <row r="41" spans="2:11" x14ac:dyDescent="0.25">
      <c r="B41" t="s">
        <v>8</v>
      </c>
      <c r="C41" s="3">
        <f>AVERAGE(Table43[Newtonsoft (size)])</f>
        <v>131500681</v>
      </c>
      <c r="D41" s="3">
        <f>AVERAGE(Table43[.NET baked full (size)])</f>
        <v>116500676</v>
      </c>
      <c r="E41" s="3">
        <f>AVERAGE(Table43[.NET baked minimal (size)])</f>
        <v>116500676</v>
      </c>
      <c r="F41" s="3">
        <f>AVERAGE(Table43[Jackson (size)])</f>
        <v>112260134</v>
      </c>
      <c r="G41" s="3">
        <f>AVERAGE(Table43[JVM baked full (size)])</f>
        <v>112260150</v>
      </c>
      <c r="H41" s="3">
        <f>AVERAGE(Table43[JVM baked minimal (size)])</f>
        <v>105260150</v>
      </c>
      <c r="I41" s="3">
        <f>AVERAGE(Table43[Protobuf.NET (size)])</f>
        <v>72611783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DEVSQ(Table43[Newtonsoft (duration)])</f>
        <v>1142</v>
      </c>
      <c r="D46" s="2">
        <f>DEVSQ(Table43[.NET baked full (duration)])</f>
        <v>708.66666666666663</v>
      </c>
      <c r="E46" s="2">
        <f>DEVSQ(Table43[.NET baked minimal (duration)])</f>
        <v>18.666666666666668</v>
      </c>
      <c r="F46" s="2">
        <f>DEVSQ(Table43[Jackson (duration)])</f>
        <v>620.66666666666674</v>
      </c>
      <c r="G46" s="2">
        <f>DEVSQ(Table43[JVM baked full (duration)])</f>
        <v>640.66666666666674</v>
      </c>
      <c r="H46" s="2">
        <f>DEVSQ(Table43[JVM baked minimal (duration)])</f>
        <v>662</v>
      </c>
      <c r="I46" s="2">
        <f>DEVSQ(Table43[Protobuf.NET (duration)])</f>
        <v>43874</v>
      </c>
    </row>
    <row r="47" spans="2:11" x14ac:dyDescent="0.25">
      <c r="B47" t="s">
        <v>1</v>
      </c>
      <c r="C47" s="2">
        <f>DEVSQ(Table44[Newtonsoft (duration)])</f>
        <v>41912</v>
      </c>
      <c r="D47" s="2">
        <f>DEVSQ(Table44[.NET baked full (duration)])</f>
        <v>844.66666666666663</v>
      </c>
      <c r="E47" s="2">
        <f>DEVSQ(Table44[.NET baked minimal (duration)])</f>
        <v>1688</v>
      </c>
      <c r="F47" s="2">
        <f>DEVSQ(Table44[Jackson (duration)])</f>
        <v>8432.6666666666661</v>
      </c>
      <c r="G47" s="2">
        <f>DEVSQ(Table44[JVM baked full (duration)])</f>
        <v>160.66666666666669</v>
      </c>
      <c r="H47" s="2">
        <f>DEVSQ(Table44[JVM baked minimal (duration)])</f>
        <v>480.66666666666669</v>
      </c>
      <c r="I47" s="2">
        <f>DEVSQ(Table44[Protobuf.NET (duration)])</f>
        <v>36954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3915</v>
      </c>
      <c r="C52">
        <v>131500681</v>
      </c>
      <c r="D52">
        <v>2212</v>
      </c>
      <c r="E52">
        <v>116500676</v>
      </c>
      <c r="F52">
        <v>2214</v>
      </c>
      <c r="G52">
        <v>116500676</v>
      </c>
      <c r="H52">
        <v>1029</v>
      </c>
      <c r="I52">
        <v>112260134</v>
      </c>
      <c r="J52">
        <v>593</v>
      </c>
      <c r="K52">
        <v>112260150</v>
      </c>
      <c r="L52">
        <v>593</v>
      </c>
      <c r="M52">
        <v>105260150</v>
      </c>
      <c r="N52">
        <v>1792</v>
      </c>
      <c r="O52">
        <v>72611783</v>
      </c>
    </row>
    <row r="53" spans="2:15" x14ac:dyDescent="0.25">
      <c r="B53">
        <v>3931</v>
      </c>
      <c r="C53">
        <v>131500681</v>
      </c>
      <c r="D53">
        <v>2243</v>
      </c>
      <c r="E53">
        <v>116500676</v>
      </c>
      <c r="F53">
        <v>2208</v>
      </c>
      <c r="G53">
        <v>116500676</v>
      </c>
      <c r="H53">
        <v>1060</v>
      </c>
      <c r="I53">
        <v>112260134</v>
      </c>
      <c r="J53">
        <v>593</v>
      </c>
      <c r="K53">
        <v>112260150</v>
      </c>
      <c r="L53">
        <v>624</v>
      </c>
      <c r="M53">
        <v>105260150</v>
      </c>
      <c r="N53">
        <v>2046</v>
      </c>
      <c r="O53">
        <v>72611783</v>
      </c>
    </row>
    <row r="54" spans="2:15" x14ac:dyDescent="0.25">
      <c r="B54">
        <v>3962</v>
      </c>
      <c r="C54">
        <v>131500681</v>
      </c>
      <c r="D54">
        <v>2209</v>
      </c>
      <c r="E54">
        <v>116500676</v>
      </c>
      <c r="F54">
        <v>2212</v>
      </c>
      <c r="G54">
        <v>116500676</v>
      </c>
      <c r="H54">
        <v>1030</v>
      </c>
      <c r="I54">
        <v>112260134</v>
      </c>
      <c r="J54">
        <v>624</v>
      </c>
      <c r="K54">
        <v>112260150</v>
      </c>
      <c r="L54">
        <v>592</v>
      </c>
      <c r="M54">
        <v>105260150</v>
      </c>
      <c r="N54">
        <v>1787</v>
      </c>
      <c r="O54">
        <v>72611783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9871</v>
      </c>
      <c r="C58">
        <v>3266</v>
      </c>
      <c r="D58">
        <v>3252</v>
      </c>
      <c r="E58">
        <v>2621</v>
      </c>
      <c r="F58">
        <v>999</v>
      </c>
      <c r="G58">
        <v>968</v>
      </c>
      <c r="H58">
        <v>3664</v>
      </c>
      <c r="I58">
        <v>1159</v>
      </c>
      <c r="J58">
        <v>265</v>
      </c>
    </row>
    <row r="59" spans="2:15" x14ac:dyDescent="0.25">
      <c r="B59">
        <v>9597</v>
      </c>
      <c r="C59">
        <v>3232</v>
      </c>
      <c r="D59">
        <v>3278</v>
      </c>
      <c r="E59">
        <v>2746</v>
      </c>
      <c r="F59">
        <v>1014</v>
      </c>
      <c r="G59">
        <v>952</v>
      </c>
      <c r="H59">
        <v>3634</v>
      </c>
      <c r="I59">
        <v>1152</v>
      </c>
      <c r="J59">
        <v>280</v>
      </c>
    </row>
    <row r="60" spans="2:15" x14ac:dyDescent="0.25">
      <c r="B60">
        <v>9815</v>
      </c>
      <c r="C60">
        <v>3229</v>
      </c>
      <c r="D60">
        <v>3220</v>
      </c>
      <c r="E60">
        <v>2714</v>
      </c>
      <c r="F60">
        <v>998</v>
      </c>
      <c r="G60">
        <v>983</v>
      </c>
      <c r="H60">
        <v>3883</v>
      </c>
      <c r="I60">
        <v>1156</v>
      </c>
      <c r="J60">
        <v>249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41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AVERAGE(Table47[Newtonsoft (duration)]) - J38</f>
        <v>28034</v>
      </c>
      <c r="D38" s="2">
        <f>AVERAGE(Table47[.NET baked full (duration)]) - J38</f>
        <v>10830.999999999998</v>
      </c>
      <c r="E38" s="2">
        <f>AVERAGE(Table47[.NET baked minimal (duration)]) - J38</f>
        <v>10677.999999999998</v>
      </c>
      <c r="F38" s="2">
        <f>AVERAGE(Table47[Jackson (duration)]) - J39</f>
        <v>9448.6666666666661</v>
      </c>
      <c r="G38" s="2">
        <f>AVERAGE(Table47[JVM baked full (duration)]) - J39</f>
        <v>5735.666666666667</v>
      </c>
      <c r="H38" s="2">
        <f>AVERAGE(Table47[JVM baked minimal (duration)]) - J39</f>
        <v>5678.666666666667</v>
      </c>
      <c r="I38" s="2">
        <f>AVERAGE(Table47[Protobuf.NET (duration)]) - J38</f>
        <v>6302.3333333333339</v>
      </c>
      <c r="J38" s="2">
        <f>AVERAGE(Table48[.NET (instance only)])</f>
        <v>11677.333333333334</v>
      </c>
      <c r="K38" s="2">
        <f>AVERAGE(Table48[JVM (instance only)])</f>
        <v>2376.3333333333335</v>
      </c>
    </row>
    <row r="39" spans="2:11" x14ac:dyDescent="0.25">
      <c r="B39" t="s">
        <v>3</v>
      </c>
      <c r="C39" s="2">
        <f>C40-C38</f>
        <v>56302.333333333343</v>
      </c>
      <c r="D39" s="2">
        <f t="shared" ref="D39:I39" si="0">D40-D38</f>
        <v>10497.33333333333</v>
      </c>
      <c r="E39" s="2">
        <f t="shared" si="0"/>
        <v>10303.666666666666</v>
      </c>
      <c r="F39" s="2">
        <f t="shared" ref="F39:H39" si="1">F40-F38</f>
        <v>16915.333333333336</v>
      </c>
      <c r="G39" s="2">
        <f t="shared" si="1"/>
        <v>3801.333333333333</v>
      </c>
      <c r="H39" s="2">
        <f t="shared" si="1"/>
        <v>3623.9999999999991</v>
      </c>
      <c r="I39" s="2">
        <f t="shared" si="0"/>
        <v>19153.666666666664</v>
      </c>
      <c r="J39" s="2"/>
      <c r="K39" s="2"/>
    </row>
    <row r="40" spans="2:11" x14ac:dyDescent="0.25">
      <c r="B40" t="s">
        <v>1</v>
      </c>
      <c r="C40" s="2">
        <f>AVERAGE(Table48[Newtonsoft (duration)]) - J38</f>
        <v>84336.333333333343</v>
      </c>
      <c r="D40" s="2">
        <f>AVERAGE(Table48[.NET baked full (duration)]) - J38</f>
        <v>21328.333333333328</v>
      </c>
      <c r="E40" s="2">
        <f>AVERAGE(Table48[.NET baked minimal (duration)]) - J38</f>
        <v>20981.666666666664</v>
      </c>
      <c r="F40" s="2">
        <f>AVERAGE(Table48[Jackson (duration)]) - J39</f>
        <v>26364</v>
      </c>
      <c r="G40" s="2">
        <f>AVERAGE(Table48[JVM baked full (duration)]) - J39</f>
        <v>9537</v>
      </c>
      <c r="H40" s="2">
        <f>AVERAGE(Table48[JVM baked minimal (duration)]) - J39</f>
        <v>9302.6666666666661</v>
      </c>
      <c r="I40" s="2">
        <f>AVERAGE(Table48[Protobuf.NET (duration)]) - J38</f>
        <v>25456</v>
      </c>
      <c r="J40" s="2"/>
      <c r="K40" s="2"/>
    </row>
    <row r="41" spans="2:11" x14ac:dyDescent="0.25">
      <c r="B41" t="s">
        <v>8</v>
      </c>
      <c r="C41" s="3">
        <f>AVERAGE(Table47[Newtonsoft (size)])</f>
        <v>1345010580</v>
      </c>
      <c r="D41" s="3">
        <f>AVERAGE(Table47[.NET baked full (size)])</f>
        <v>1195010573</v>
      </c>
      <c r="E41" s="3">
        <f>AVERAGE(Table47[.NET baked minimal (size)])</f>
        <v>1195010573</v>
      </c>
      <c r="F41" s="3">
        <f>AVERAGE(Table47[Jackson (size)])</f>
        <v>1142605274</v>
      </c>
      <c r="G41" s="3">
        <f>AVERAGE(Table47[JVM baked full (size)])</f>
        <v>1142605277</v>
      </c>
      <c r="H41" s="3">
        <f>AVERAGE(Table47[JVM baked minimal (size)])</f>
        <v>1072605277</v>
      </c>
      <c r="I41" s="3">
        <f>AVERAGE(Table47[Protobuf.NET (size)])</f>
        <v>746121677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DEVSQ(Table47[Newtonsoft (duration)])</f>
        <v>2052.6666666666665</v>
      </c>
      <c r="D46" s="2">
        <f>DEVSQ(Table47[.NET baked full (duration)])</f>
        <v>52652.666666666664</v>
      </c>
      <c r="E46" s="2">
        <f>DEVSQ(Table47[.NET baked minimal (duration)])</f>
        <v>4008.666666666667</v>
      </c>
      <c r="F46" s="2">
        <f>DEVSQ(Table47[Jackson (duration)])</f>
        <v>1132.6666666666667</v>
      </c>
      <c r="G46" s="2">
        <f>DEVSQ(Table47[JVM baked full (duration)])</f>
        <v>7952.666666666667</v>
      </c>
      <c r="H46" s="2">
        <f>DEVSQ(Table47[JVM baked minimal (duration)])</f>
        <v>10308.666666666668</v>
      </c>
      <c r="I46" s="2">
        <f>DEVSQ(Table47[Protobuf.NET (duration)])</f>
        <v>49484.666666666664</v>
      </c>
    </row>
    <row r="47" spans="2:11" x14ac:dyDescent="0.25">
      <c r="B47" t="s">
        <v>1</v>
      </c>
      <c r="C47" s="2">
        <f>DEVSQ(Table48[Newtonsoft (duration)])</f>
        <v>146440.66666666669</v>
      </c>
      <c r="D47" s="2">
        <f>DEVSQ(Table48[.NET baked full (duration)])</f>
        <v>184408.66666666666</v>
      </c>
      <c r="E47" s="2">
        <f>DEVSQ(Table48[.NET baked minimal (duration)])</f>
        <v>46766</v>
      </c>
      <c r="F47" s="2">
        <f>DEVSQ(Table48[Jackson (duration)])</f>
        <v>1698566</v>
      </c>
      <c r="G47" s="2">
        <f>DEVSQ(Table48[JVM baked full (duration)])</f>
        <v>9978</v>
      </c>
      <c r="H47" s="2">
        <f>DEVSQ(Table48[JVM baked minimal (duration)])</f>
        <v>3074.666666666667</v>
      </c>
      <c r="I47" s="2">
        <f>DEVSQ(Table48[Protobuf.NET (duration)])</f>
        <v>4741888.666666667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39685</v>
      </c>
      <c r="C52">
        <v>1345010580</v>
      </c>
      <c r="D52">
        <v>22368</v>
      </c>
      <c r="E52">
        <v>1195010573</v>
      </c>
      <c r="F52">
        <v>22407</v>
      </c>
      <c r="G52">
        <v>1195010573</v>
      </c>
      <c r="H52">
        <v>9423</v>
      </c>
      <c r="I52">
        <v>1142605274</v>
      </c>
      <c r="J52">
        <v>5678</v>
      </c>
      <c r="K52">
        <v>1142605277</v>
      </c>
      <c r="L52">
        <v>5757</v>
      </c>
      <c r="M52">
        <v>1072605277</v>
      </c>
      <c r="N52">
        <v>17898</v>
      </c>
      <c r="O52">
        <v>746121677</v>
      </c>
    </row>
    <row r="53" spans="2:15" x14ac:dyDescent="0.25">
      <c r="B53">
        <v>39747</v>
      </c>
      <c r="C53">
        <v>1345010580</v>
      </c>
      <c r="D53">
        <v>22686</v>
      </c>
      <c r="E53">
        <v>1195010573</v>
      </c>
      <c r="F53">
        <v>22328</v>
      </c>
      <c r="G53">
        <v>1195010573</v>
      </c>
      <c r="H53">
        <v>9453</v>
      </c>
      <c r="I53">
        <v>1142605274</v>
      </c>
      <c r="J53">
        <v>5726</v>
      </c>
      <c r="K53">
        <v>1142605277</v>
      </c>
      <c r="L53">
        <v>5663</v>
      </c>
      <c r="M53">
        <v>1072605277</v>
      </c>
      <c r="N53">
        <v>17880</v>
      </c>
      <c r="O53">
        <v>746121677</v>
      </c>
    </row>
    <row r="54" spans="2:15" x14ac:dyDescent="0.25">
      <c r="B54">
        <v>39702</v>
      </c>
      <c r="C54">
        <v>1345010580</v>
      </c>
      <c r="D54">
        <v>22471</v>
      </c>
      <c r="E54">
        <v>1195010573</v>
      </c>
      <c r="F54">
        <v>22331</v>
      </c>
      <c r="G54">
        <v>1195010573</v>
      </c>
      <c r="H54">
        <v>9470</v>
      </c>
      <c r="I54">
        <v>1142605274</v>
      </c>
      <c r="J54">
        <v>5803</v>
      </c>
      <c r="K54">
        <v>1142605277</v>
      </c>
      <c r="L54">
        <v>5616</v>
      </c>
      <c r="M54">
        <v>1072605277</v>
      </c>
      <c r="N54">
        <v>18161</v>
      </c>
      <c r="O54">
        <v>746121677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95865</v>
      </c>
      <c r="C58">
        <v>33328</v>
      </c>
      <c r="D58">
        <v>32805</v>
      </c>
      <c r="E58">
        <v>27253</v>
      </c>
      <c r="F58">
        <v>9610</v>
      </c>
      <c r="G58">
        <v>9298</v>
      </c>
      <c r="H58">
        <v>36274</v>
      </c>
      <c r="I58">
        <v>11681</v>
      </c>
      <c r="J58">
        <v>2434</v>
      </c>
    </row>
    <row r="59" spans="2:15" x14ac:dyDescent="0.25">
      <c r="B59">
        <v>95850</v>
      </c>
      <c r="C59">
        <v>32725</v>
      </c>
      <c r="D59">
        <v>32500</v>
      </c>
      <c r="E59">
        <v>26426</v>
      </c>
      <c r="F59">
        <v>9469</v>
      </c>
      <c r="G59">
        <v>9344</v>
      </c>
      <c r="H59">
        <v>38911</v>
      </c>
      <c r="I59">
        <v>11674</v>
      </c>
      <c r="J59">
        <v>2402</v>
      </c>
    </row>
    <row r="60" spans="2:15" x14ac:dyDescent="0.25">
      <c r="B60">
        <v>96326</v>
      </c>
      <c r="C60">
        <v>32964</v>
      </c>
      <c r="D60">
        <v>32672</v>
      </c>
      <c r="E60">
        <v>25413</v>
      </c>
      <c r="F60">
        <v>9532</v>
      </c>
      <c r="G60">
        <v>9266</v>
      </c>
      <c r="H60">
        <v>36215</v>
      </c>
      <c r="I60">
        <v>11677</v>
      </c>
      <c r="J60">
        <v>2293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42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AVERAGE(Table51[Newtonsoft (duration)]) - J38</f>
        <v>132.66666666666666</v>
      </c>
      <c r="D38" s="2">
        <f>AVERAGE(Table51[.NET baked full (duration)]) - J38</f>
        <v>28</v>
      </c>
      <c r="E38" s="2">
        <f>AVERAGE(Table51[.NET baked minimal (duration)]) - J38</f>
        <v>27</v>
      </c>
      <c r="F38" s="2">
        <f>AVERAGE(Table51[Jackson (duration)]) - J39</f>
        <v>171.33333333333334</v>
      </c>
      <c r="G38" s="2">
        <f>AVERAGE(Table51[JVM baked full (duration)]) - J39</f>
        <v>72.666666666666671</v>
      </c>
      <c r="H38" s="2">
        <f>AVERAGE(Table51[JVM baked minimal (duration)]) - J39</f>
        <v>62</v>
      </c>
      <c r="I38" s="2">
        <f>AVERAGE(Table51[Protobuf.NET (duration)]) - J38</f>
        <v>63.666666666666671</v>
      </c>
      <c r="J38" s="2">
        <f>AVERAGE(Table52[.NET (instance only)])</f>
        <v>7</v>
      </c>
      <c r="K38" s="2">
        <f>AVERAGE(Table52[JVM (instance only)])</f>
        <v>15.666666666666666</v>
      </c>
    </row>
    <row r="39" spans="2:11" x14ac:dyDescent="0.25">
      <c r="B39" t="s">
        <v>3</v>
      </c>
      <c r="C39" s="2">
        <f>C40-C38</f>
        <v>113.66666666666669</v>
      </c>
      <c r="D39" s="2">
        <f t="shared" ref="D39:I39" si="0">D40-D38</f>
        <v>75</v>
      </c>
      <c r="E39" s="2">
        <f t="shared" si="0"/>
        <v>39.333333333333329</v>
      </c>
      <c r="F39" s="2">
        <f t="shared" ref="F39:H39" si="1">F40-F38</f>
        <v>202.99999999999997</v>
      </c>
      <c r="G39" s="2">
        <f t="shared" si="1"/>
        <v>57.333333333333329</v>
      </c>
      <c r="H39" s="2">
        <f t="shared" si="1"/>
        <v>63</v>
      </c>
      <c r="I39" s="2">
        <f t="shared" si="0"/>
        <v>24.333333333333329</v>
      </c>
      <c r="J39" s="2"/>
      <c r="K39" s="2"/>
    </row>
    <row r="40" spans="2:11" x14ac:dyDescent="0.25">
      <c r="B40" t="s">
        <v>1</v>
      </c>
      <c r="C40" s="2">
        <f>AVERAGE(Table52[Newtonsoft (duration)]) - J38</f>
        <v>246.33333333333334</v>
      </c>
      <c r="D40" s="2">
        <f>AVERAGE(Table52[.NET baked full (duration)]) - J38</f>
        <v>103</v>
      </c>
      <c r="E40" s="2">
        <f>AVERAGE(Table52[.NET baked minimal (duration)]) - J38</f>
        <v>66.333333333333329</v>
      </c>
      <c r="F40" s="2">
        <f>AVERAGE(Table52[Jackson (duration)]) - J39</f>
        <v>374.33333333333331</v>
      </c>
      <c r="G40" s="2">
        <f>AVERAGE(Table52[JVM baked full (duration)]) - J39</f>
        <v>130</v>
      </c>
      <c r="H40" s="2">
        <f>AVERAGE(Table52[JVM baked minimal (duration)]) - J39</f>
        <v>125</v>
      </c>
      <c r="I40" s="2">
        <f>AVERAGE(Table52[Protobuf.NET (duration)]) - J38</f>
        <v>88</v>
      </c>
      <c r="J40" s="2"/>
      <c r="K40" s="2"/>
    </row>
    <row r="41" spans="2:11" x14ac:dyDescent="0.25">
      <c r="B41" t="s">
        <v>8</v>
      </c>
      <c r="C41" s="3">
        <f>AVERAGE(Table51[Newtonsoft (size)])</f>
        <v>1640586</v>
      </c>
      <c r="D41" s="3">
        <f>AVERAGE(Table51[.NET baked full (size)])</f>
        <v>2025118</v>
      </c>
      <c r="E41" s="3">
        <f>AVERAGE(Table51[.NET baked minimal (size)])</f>
        <v>1655917</v>
      </c>
      <c r="F41" s="3">
        <f>AVERAGE(Table51[Jackson (size)])</f>
        <v>1617328</v>
      </c>
      <c r="G41" s="3">
        <f>AVERAGE(Table51[JVM baked full (size)])</f>
        <v>1985118</v>
      </c>
      <c r="H41" s="3">
        <f>AVERAGE(Table51[JVM baked minimal (size)])</f>
        <v>1615917</v>
      </c>
      <c r="I41" s="3">
        <f>AVERAGE(Table51[Protobuf.NET (size)])</f>
        <v>637332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DEVSQ(Table51[Newtonsoft (duration)])</f>
        <v>4.6666666666666661</v>
      </c>
      <c r="D46" s="2">
        <f>DEVSQ(Table51[.NET baked full (duration)])</f>
        <v>2</v>
      </c>
      <c r="E46" s="2">
        <f>DEVSQ(Table51[.NET baked minimal (duration)])</f>
        <v>2</v>
      </c>
      <c r="F46" s="2">
        <f>DEVSQ(Table51[Jackson (duration)])</f>
        <v>480.66666666666663</v>
      </c>
      <c r="G46" s="2">
        <f>DEVSQ(Table51[JVM baked full (duration)])</f>
        <v>170.66666666666669</v>
      </c>
      <c r="H46" s="2">
        <f>DEVSQ(Table51[JVM baked minimal (duration)])</f>
        <v>0</v>
      </c>
      <c r="I46" s="2">
        <f>DEVSQ(Table51[Protobuf.NET (duration)])</f>
        <v>0.66666666666666663</v>
      </c>
    </row>
    <row r="47" spans="2:11" x14ac:dyDescent="0.25">
      <c r="B47" t="s">
        <v>1</v>
      </c>
      <c r="C47" s="2">
        <f>DEVSQ(Table52[Newtonsoft (duration)])</f>
        <v>68.666666666666657</v>
      </c>
      <c r="D47" s="2">
        <f>DEVSQ(Table52[.NET baked full (duration)])</f>
        <v>6936</v>
      </c>
      <c r="E47" s="2">
        <f>DEVSQ(Table52[.NET baked minimal (duration)])</f>
        <v>0.66666666666666663</v>
      </c>
      <c r="F47" s="2">
        <f>DEVSQ(Table52[Jackson (duration)])</f>
        <v>0.66666666666666674</v>
      </c>
      <c r="G47" s="2">
        <f>DEVSQ(Table52[JVM baked full (duration)])</f>
        <v>150</v>
      </c>
      <c r="H47" s="2">
        <f>DEVSQ(Table52[JVM baked minimal (duration)])</f>
        <v>0</v>
      </c>
      <c r="I47" s="2">
        <f>DEVSQ(Table52[Protobuf.NET (duration)])</f>
        <v>0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140</v>
      </c>
      <c r="C52">
        <v>1640586</v>
      </c>
      <c r="D52">
        <v>35</v>
      </c>
      <c r="E52">
        <v>2025118</v>
      </c>
      <c r="F52">
        <v>34</v>
      </c>
      <c r="G52">
        <v>1655917</v>
      </c>
      <c r="H52">
        <v>187</v>
      </c>
      <c r="I52">
        <v>1617328</v>
      </c>
      <c r="J52">
        <v>78</v>
      </c>
      <c r="K52">
        <v>1985118</v>
      </c>
      <c r="L52">
        <v>62</v>
      </c>
      <c r="M52">
        <v>1615917</v>
      </c>
      <c r="N52">
        <v>71</v>
      </c>
      <c r="O52">
        <v>637332</v>
      </c>
    </row>
    <row r="53" spans="2:15" x14ac:dyDescent="0.25">
      <c r="B53">
        <v>141</v>
      </c>
      <c r="C53">
        <v>1640586</v>
      </c>
      <c r="D53">
        <v>36</v>
      </c>
      <c r="E53">
        <v>2025118</v>
      </c>
      <c r="F53">
        <v>35</v>
      </c>
      <c r="G53">
        <v>1655917</v>
      </c>
      <c r="H53">
        <v>171</v>
      </c>
      <c r="I53">
        <v>1617328</v>
      </c>
      <c r="J53">
        <v>62</v>
      </c>
      <c r="K53">
        <v>1985118</v>
      </c>
      <c r="L53">
        <v>62</v>
      </c>
      <c r="M53">
        <v>1615917</v>
      </c>
      <c r="N53">
        <v>71</v>
      </c>
      <c r="O53">
        <v>637332</v>
      </c>
    </row>
    <row r="54" spans="2:15" x14ac:dyDescent="0.25">
      <c r="B54">
        <v>138</v>
      </c>
      <c r="C54">
        <v>1640586</v>
      </c>
      <c r="D54">
        <v>34</v>
      </c>
      <c r="E54">
        <v>2025118</v>
      </c>
      <c r="F54">
        <v>33</v>
      </c>
      <c r="G54">
        <v>1655917</v>
      </c>
      <c r="H54">
        <v>156</v>
      </c>
      <c r="I54">
        <v>1617328</v>
      </c>
      <c r="J54">
        <v>78</v>
      </c>
      <c r="K54">
        <v>1985118</v>
      </c>
      <c r="L54">
        <v>62</v>
      </c>
      <c r="M54">
        <v>1615917</v>
      </c>
      <c r="N54">
        <v>70</v>
      </c>
      <c r="O54">
        <v>637332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260</v>
      </c>
      <c r="C58">
        <v>178</v>
      </c>
      <c r="D58">
        <v>73</v>
      </c>
      <c r="E58">
        <v>374</v>
      </c>
      <c r="F58">
        <v>140</v>
      </c>
      <c r="G58">
        <v>125</v>
      </c>
      <c r="H58">
        <v>95</v>
      </c>
      <c r="I58">
        <v>7</v>
      </c>
      <c r="J58">
        <v>15</v>
      </c>
    </row>
    <row r="59" spans="2:15" x14ac:dyDescent="0.25">
      <c r="B59">
        <v>249</v>
      </c>
      <c r="C59">
        <v>76</v>
      </c>
      <c r="D59">
        <v>74</v>
      </c>
      <c r="E59">
        <v>374</v>
      </c>
      <c r="F59">
        <v>125</v>
      </c>
      <c r="G59">
        <v>125</v>
      </c>
      <c r="H59">
        <v>95</v>
      </c>
      <c r="I59">
        <v>7</v>
      </c>
      <c r="J59">
        <v>16</v>
      </c>
    </row>
    <row r="60" spans="2:15" x14ac:dyDescent="0.25">
      <c r="B60">
        <v>251</v>
      </c>
      <c r="C60">
        <v>76</v>
      </c>
      <c r="D60">
        <v>73</v>
      </c>
      <c r="E60">
        <v>375</v>
      </c>
      <c r="F60">
        <v>125</v>
      </c>
      <c r="G60">
        <v>125</v>
      </c>
      <c r="H60">
        <v>95</v>
      </c>
      <c r="I60">
        <v>7</v>
      </c>
      <c r="J60">
        <v>16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43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AVERAGE(Table55[Newtonsoft (duration)]) - J38</f>
        <v>508.66666666666669</v>
      </c>
      <c r="D38" s="2">
        <f>AVERAGE(Table55[.NET baked full (duration)]) - J38</f>
        <v>207</v>
      </c>
      <c r="E38" s="2">
        <f>AVERAGE(Table55[.NET baked minimal (duration)]) - J38</f>
        <v>195</v>
      </c>
      <c r="F38" s="2">
        <f>AVERAGE(Table55[Jackson (duration)]) - J39</f>
        <v>374.33333333333331</v>
      </c>
      <c r="G38" s="2">
        <f>AVERAGE(Table55[JVM baked full (duration)]) - J39</f>
        <v>254.66666666666666</v>
      </c>
      <c r="H38" s="2">
        <f>AVERAGE(Table55[JVM baked minimal (duration)]) - J39</f>
        <v>260.33333333333331</v>
      </c>
      <c r="I38" s="2">
        <f>AVERAGE(Table55[Protobuf.NET (duration)]) - J38</f>
        <v>134.66666666666669</v>
      </c>
      <c r="J38" s="2">
        <f>AVERAGE(Table56[.NET (instance only)])</f>
        <v>69.333333333333329</v>
      </c>
      <c r="K38" s="2">
        <f>AVERAGE(Table56[JVM (instance only)])</f>
        <v>46.666666666666664</v>
      </c>
    </row>
    <row r="39" spans="2:11" x14ac:dyDescent="0.25">
      <c r="B39" t="s">
        <v>3</v>
      </c>
      <c r="C39" s="2">
        <f>C40-C38</f>
        <v>811</v>
      </c>
      <c r="D39" s="2">
        <f t="shared" ref="D39:I39" si="0">D40-D38</f>
        <v>302.66666666666669</v>
      </c>
      <c r="E39" s="2">
        <f t="shared" si="0"/>
        <v>272.66666666666669</v>
      </c>
      <c r="F39" s="2">
        <f t="shared" ref="F39:H39" si="1">F40-F38</f>
        <v>494.33333333333331</v>
      </c>
      <c r="G39" s="2">
        <f t="shared" si="1"/>
        <v>265.33333333333337</v>
      </c>
      <c r="H39" s="2">
        <f t="shared" si="1"/>
        <v>306.00000000000006</v>
      </c>
      <c r="I39" s="2">
        <f t="shared" si="0"/>
        <v>173</v>
      </c>
      <c r="J39" s="2"/>
      <c r="K39" s="2"/>
    </row>
    <row r="40" spans="2:11" x14ac:dyDescent="0.25">
      <c r="B40" t="s">
        <v>1</v>
      </c>
      <c r="C40" s="2">
        <f>AVERAGE(Table56[Newtonsoft (duration)]) - J38</f>
        <v>1319.6666666666667</v>
      </c>
      <c r="D40" s="2">
        <f>AVERAGE(Table56[.NET baked full (duration)]) - J38</f>
        <v>509.66666666666669</v>
      </c>
      <c r="E40" s="2">
        <f>AVERAGE(Table56[.NET baked minimal (duration)]) - J38</f>
        <v>467.66666666666669</v>
      </c>
      <c r="F40" s="2">
        <f>AVERAGE(Table56[Jackson (duration)]) - J39</f>
        <v>868.66666666666663</v>
      </c>
      <c r="G40" s="2">
        <f>AVERAGE(Table56[JVM baked full (duration)]) - J39</f>
        <v>520</v>
      </c>
      <c r="H40" s="2">
        <f>AVERAGE(Table56[JVM baked minimal (duration)]) - J39</f>
        <v>566.33333333333337</v>
      </c>
      <c r="I40" s="2">
        <f>AVERAGE(Table56[Protobuf.NET (duration)]) - J38</f>
        <v>307.66666666666669</v>
      </c>
      <c r="J40" s="2"/>
      <c r="K40" s="2"/>
    </row>
    <row r="41" spans="2:11" x14ac:dyDescent="0.25">
      <c r="B41" t="s">
        <v>8</v>
      </c>
      <c r="C41" s="3">
        <f>AVERAGE(Table55[Newtonsoft (size)])</f>
        <v>17286511.666666668</v>
      </c>
      <c r="D41" s="3">
        <f>AVERAGE(Table55[.NET baked full (size)])</f>
        <v>21152665</v>
      </c>
      <c r="E41" s="3">
        <f>AVERAGE(Table55[.NET baked minimal (size)])</f>
        <v>17473176</v>
      </c>
      <c r="F41" s="3">
        <f>AVERAGE(Table55[Jackson (size)])</f>
        <v>17074587</v>
      </c>
      <c r="G41" s="3">
        <f>AVERAGE(Table55[JVM baked full (size)])</f>
        <v>20752665</v>
      </c>
      <c r="H41" s="3">
        <f>AVERAGE(Table55[JVM baked minimal (size)])</f>
        <v>17073176</v>
      </c>
      <c r="I41" s="3">
        <f>AVERAGE(Table55[Protobuf.NET (size)])</f>
        <v>6839717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DEVSQ(Table55[Newtonsoft (duration)])</f>
        <v>446</v>
      </c>
      <c r="D46" s="2">
        <f>DEVSQ(Table55[.NET baked full (duration)])</f>
        <v>68.666666666666671</v>
      </c>
      <c r="E46" s="2">
        <f>DEVSQ(Table55[.NET baked minimal (duration)])</f>
        <v>0.66666666666666674</v>
      </c>
      <c r="F46" s="2">
        <f>DEVSQ(Table55[Jackson (duration)])</f>
        <v>0.66666666666666674</v>
      </c>
      <c r="G46" s="2">
        <f>DEVSQ(Table55[JVM baked full (duration)])</f>
        <v>160.66666666666666</v>
      </c>
      <c r="H46" s="2">
        <f>DEVSQ(Table55[JVM baked minimal (duration)])</f>
        <v>640.66666666666663</v>
      </c>
      <c r="I46" s="2">
        <f>DEVSQ(Table55[Protobuf.NET (duration)])</f>
        <v>0</v>
      </c>
    </row>
    <row r="47" spans="2:11" x14ac:dyDescent="0.25">
      <c r="B47" t="s">
        <v>1</v>
      </c>
      <c r="C47" s="2">
        <f>DEVSQ(Table56[Newtonsoft (duration)])</f>
        <v>40992</v>
      </c>
      <c r="D47" s="2">
        <f>DEVSQ(Table56[.NET baked full (duration)])</f>
        <v>1178</v>
      </c>
      <c r="E47" s="2">
        <f>DEVSQ(Table56[.NET baked minimal (duration)])</f>
        <v>38</v>
      </c>
      <c r="F47" s="2">
        <f>DEVSQ(Table56[Jackson (duration)])</f>
        <v>170.66666666666669</v>
      </c>
      <c r="G47" s="2">
        <f>DEVSQ(Table56[JVM baked full (duration)])</f>
        <v>182</v>
      </c>
      <c r="H47" s="2">
        <f>DEVSQ(Table56[JVM baked minimal (duration)])</f>
        <v>170.66666666666669</v>
      </c>
      <c r="I47" s="2">
        <f>DEVSQ(Table56[Protobuf.NET (duration)])</f>
        <v>0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572</v>
      </c>
      <c r="C52">
        <v>17319845</v>
      </c>
      <c r="D52">
        <v>274</v>
      </c>
      <c r="E52">
        <v>21152665</v>
      </c>
      <c r="F52">
        <v>265</v>
      </c>
      <c r="G52">
        <v>17473176</v>
      </c>
      <c r="H52">
        <v>374</v>
      </c>
      <c r="I52">
        <v>17074587</v>
      </c>
      <c r="J52">
        <v>265</v>
      </c>
      <c r="K52">
        <v>20752665</v>
      </c>
      <c r="L52">
        <v>250</v>
      </c>
      <c r="M52">
        <v>17073176</v>
      </c>
      <c r="N52">
        <v>204</v>
      </c>
      <c r="O52">
        <v>6839717</v>
      </c>
    </row>
    <row r="53" spans="2:15" x14ac:dyDescent="0.25">
      <c r="B53">
        <v>567</v>
      </c>
      <c r="C53">
        <v>17319845</v>
      </c>
      <c r="D53">
        <v>272</v>
      </c>
      <c r="E53">
        <v>21152665</v>
      </c>
      <c r="F53">
        <v>264</v>
      </c>
      <c r="G53">
        <v>17473176</v>
      </c>
      <c r="H53">
        <v>374</v>
      </c>
      <c r="I53">
        <v>17074587</v>
      </c>
      <c r="J53">
        <v>249</v>
      </c>
      <c r="K53">
        <v>20752665</v>
      </c>
      <c r="L53">
        <v>250</v>
      </c>
      <c r="M53">
        <v>17073176</v>
      </c>
      <c r="N53">
        <v>204</v>
      </c>
      <c r="O53">
        <v>6839717</v>
      </c>
    </row>
    <row r="54" spans="2:15" x14ac:dyDescent="0.25">
      <c r="B54">
        <v>595</v>
      </c>
      <c r="C54">
        <v>17219845</v>
      </c>
      <c r="D54">
        <v>283</v>
      </c>
      <c r="E54">
        <v>21152665</v>
      </c>
      <c r="F54">
        <v>264</v>
      </c>
      <c r="G54">
        <v>17473176</v>
      </c>
      <c r="H54">
        <v>375</v>
      </c>
      <c r="I54">
        <v>17074587</v>
      </c>
      <c r="J54">
        <v>250</v>
      </c>
      <c r="K54">
        <v>20752665</v>
      </c>
      <c r="L54">
        <v>281</v>
      </c>
      <c r="M54">
        <v>17073176</v>
      </c>
      <c r="N54">
        <v>204</v>
      </c>
      <c r="O54">
        <v>6839717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1553</v>
      </c>
      <c r="C58">
        <v>607</v>
      </c>
      <c r="D58">
        <v>542</v>
      </c>
      <c r="E58">
        <v>874</v>
      </c>
      <c r="F58">
        <v>514</v>
      </c>
      <c r="G58">
        <v>577</v>
      </c>
      <c r="H58">
        <v>377</v>
      </c>
      <c r="I58">
        <v>71</v>
      </c>
      <c r="J58">
        <v>46</v>
      </c>
    </row>
    <row r="59" spans="2:15" x14ac:dyDescent="0.25">
      <c r="B59">
        <v>1289</v>
      </c>
      <c r="C59">
        <v>564</v>
      </c>
      <c r="D59">
        <v>535</v>
      </c>
      <c r="E59">
        <v>858</v>
      </c>
      <c r="F59">
        <v>515</v>
      </c>
      <c r="G59">
        <v>561</v>
      </c>
      <c r="H59">
        <v>377</v>
      </c>
      <c r="I59">
        <v>69</v>
      </c>
      <c r="J59">
        <v>47</v>
      </c>
    </row>
    <row r="60" spans="2:15" x14ac:dyDescent="0.25">
      <c r="B60">
        <v>1325</v>
      </c>
      <c r="C60">
        <v>566</v>
      </c>
      <c r="D60">
        <v>534</v>
      </c>
      <c r="E60">
        <v>874</v>
      </c>
      <c r="F60">
        <v>531</v>
      </c>
      <c r="G60">
        <v>561</v>
      </c>
      <c r="H60">
        <v>377</v>
      </c>
      <c r="I60">
        <v>68</v>
      </c>
      <c r="J60">
        <v>47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44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AVERAGE(Table59[Newtonsoft (duration)]) - J38</f>
        <v>4298.333333333333</v>
      </c>
      <c r="D38" s="2">
        <f>AVERAGE(Table59[.NET baked full (duration)]) - J38</f>
        <v>2021.666666666667</v>
      </c>
      <c r="E38" s="2">
        <f>AVERAGE(Table59[.NET baked minimal (duration)]) - J38</f>
        <v>1928.666666666667</v>
      </c>
      <c r="F38" s="2">
        <f>AVERAGE(Table59[Jackson (duration)]) - J39</f>
        <v>1476.6666666666667</v>
      </c>
      <c r="G38" s="2">
        <f>AVERAGE(Table59[JVM baked full (duration)]) - J39</f>
        <v>1383</v>
      </c>
      <c r="H38" s="2">
        <f>AVERAGE(Table59[JVM baked minimal (duration)]) - J39</f>
        <v>1305</v>
      </c>
      <c r="I38" s="2">
        <f>AVERAGE(Table59[Protobuf.NET (duration)]) - J38</f>
        <v>876.00000000000011</v>
      </c>
      <c r="J38" s="2">
        <f>AVERAGE(Table60[.NET (instance only)])</f>
        <v>670.66666666666663</v>
      </c>
      <c r="K38" s="2">
        <f>AVERAGE(Table60[JVM (instance only)])</f>
        <v>223.66666666666666</v>
      </c>
    </row>
    <row r="39" spans="2:11" x14ac:dyDescent="0.25">
      <c r="B39" t="s">
        <v>3</v>
      </c>
      <c r="C39" s="2">
        <f>C40-C38</f>
        <v>7743.3333333333348</v>
      </c>
      <c r="D39" s="2">
        <f t="shared" ref="D39:I39" si="0">D40-D38</f>
        <v>2820.333333333333</v>
      </c>
      <c r="E39" s="2">
        <f t="shared" si="0"/>
        <v>2699.6666666666661</v>
      </c>
      <c r="F39" s="2">
        <f t="shared" ref="F39:H39" si="1">F40-F38</f>
        <v>3078.333333333333</v>
      </c>
      <c r="G39" s="2">
        <f t="shared" si="1"/>
        <v>1217</v>
      </c>
      <c r="H39" s="2">
        <f t="shared" si="1"/>
        <v>1212.3333333333335</v>
      </c>
      <c r="I39" s="2">
        <f t="shared" si="0"/>
        <v>1657.666666666667</v>
      </c>
      <c r="J39" s="2"/>
      <c r="K39" s="2"/>
    </row>
    <row r="40" spans="2:11" x14ac:dyDescent="0.25">
      <c r="B40" t="s">
        <v>1</v>
      </c>
      <c r="C40" s="2">
        <f>AVERAGE(Table60[Newtonsoft (duration)]) - J38</f>
        <v>12041.666666666668</v>
      </c>
      <c r="D40" s="2">
        <f>AVERAGE(Table60[.NET baked full (duration)]) - J38</f>
        <v>4842</v>
      </c>
      <c r="E40" s="2">
        <f>AVERAGE(Table60[.NET baked minimal (duration)]) - J38</f>
        <v>4628.333333333333</v>
      </c>
      <c r="F40" s="2">
        <f>AVERAGE(Table60[Jackson (duration)]) - J39</f>
        <v>4555</v>
      </c>
      <c r="G40" s="2">
        <f>AVERAGE(Table60[JVM baked full (duration)]) - J39</f>
        <v>2600</v>
      </c>
      <c r="H40" s="2">
        <f>AVERAGE(Table60[JVM baked minimal (duration)]) - J39</f>
        <v>2517.3333333333335</v>
      </c>
      <c r="I40" s="2">
        <f>AVERAGE(Table60[Protobuf.NET (duration)]) - J38</f>
        <v>2533.666666666667</v>
      </c>
      <c r="J40" s="2"/>
      <c r="K40" s="2"/>
    </row>
    <row r="41" spans="2:11" x14ac:dyDescent="0.25">
      <c r="B41" t="s">
        <v>8</v>
      </c>
      <c r="C41" s="3">
        <f>AVERAGE(Table59[Newtonsoft (size)])</f>
        <v>182274558</v>
      </c>
      <c r="D41" s="3">
        <f>AVERAGE(Table59[.NET baked full (size)])</f>
        <v>220590226</v>
      </c>
      <c r="E41" s="3">
        <f>AVERAGE(Table59[.NET baked minimal (size)])</f>
        <v>183807889</v>
      </c>
      <c r="F41" s="3">
        <f>AVERAGE(Table59[Jackson (size)])</f>
        <v>179809300</v>
      </c>
      <c r="G41" s="3">
        <f>AVERAGE(Table59[JVM baked full (size)])</f>
        <v>216590226</v>
      </c>
      <c r="H41" s="3">
        <f>AVERAGE(Table59[JVM baked minimal (size)])</f>
        <v>179807889</v>
      </c>
      <c r="I41" s="3">
        <f>AVERAGE(Table59[Protobuf.NET (size)])</f>
        <v>72578052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DEVSQ(Table59[Newtonsoft (duration)])</f>
        <v>168</v>
      </c>
      <c r="D46" s="2">
        <f>DEVSQ(Table59[.NET baked full (duration)])</f>
        <v>448.66666666666663</v>
      </c>
      <c r="E46" s="2">
        <f>DEVSQ(Table59[.NET baked minimal (duration)])</f>
        <v>0.66666666666666674</v>
      </c>
      <c r="F46" s="2">
        <f>DEVSQ(Table59[Jackson (duration)])</f>
        <v>170.66666666666666</v>
      </c>
      <c r="G46" s="2">
        <f>DEVSQ(Table59[JVM baked full (duration)])</f>
        <v>2166</v>
      </c>
      <c r="H46" s="2">
        <f>DEVSQ(Table59[JVM baked minimal (duration)])</f>
        <v>2166</v>
      </c>
      <c r="I46" s="2">
        <f>DEVSQ(Table59[Protobuf.NET (duration)])</f>
        <v>130.66666666666666</v>
      </c>
    </row>
    <row r="47" spans="2:11" x14ac:dyDescent="0.25">
      <c r="B47" t="s">
        <v>1</v>
      </c>
      <c r="C47" s="2">
        <f>DEVSQ(Table60[Newtonsoft (duration)])</f>
        <v>1770316.6666666667</v>
      </c>
      <c r="D47" s="2">
        <f>DEVSQ(Table60[.NET baked full (duration)])</f>
        <v>0.66666666666666663</v>
      </c>
      <c r="E47" s="2">
        <f>DEVSQ(Table60[.NET baked minimal (duration)])</f>
        <v>7154</v>
      </c>
      <c r="F47" s="2">
        <f>DEVSQ(Table60[Jackson (duration)])</f>
        <v>12168</v>
      </c>
      <c r="G47" s="2">
        <f>DEVSQ(Table60[JVM baked full (duration)])</f>
        <v>5978</v>
      </c>
      <c r="H47" s="2">
        <f>DEVSQ(Table60[JVM baked minimal (duration)])</f>
        <v>682.66666666666663</v>
      </c>
      <c r="I47" s="2">
        <f>DEVSQ(Table60[Protobuf.NET (duration)])</f>
        <v>34.666666666666671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4971</v>
      </c>
      <c r="C52">
        <v>182274558</v>
      </c>
      <c r="D52">
        <v>2680</v>
      </c>
      <c r="E52">
        <v>220590226</v>
      </c>
      <c r="F52">
        <v>2599</v>
      </c>
      <c r="G52">
        <v>183807889</v>
      </c>
      <c r="H52">
        <v>1466</v>
      </c>
      <c r="I52">
        <v>179809300</v>
      </c>
      <c r="J52">
        <v>1420</v>
      </c>
      <c r="K52">
        <v>216590226</v>
      </c>
      <c r="L52">
        <v>1279</v>
      </c>
      <c r="M52">
        <v>179807889</v>
      </c>
      <c r="N52">
        <v>1542</v>
      </c>
      <c r="O52">
        <v>72578052</v>
      </c>
    </row>
    <row r="53" spans="2:15" x14ac:dyDescent="0.25">
      <c r="B53">
        <v>4977</v>
      </c>
      <c r="C53">
        <v>182274558</v>
      </c>
      <c r="D53">
        <v>2709</v>
      </c>
      <c r="E53">
        <v>220590226</v>
      </c>
      <c r="F53">
        <v>2599</v>
      </c>
      <c r="G53">
        <v>183807889</v>
      </c>
      <c r="H53">
        <v>1482</v>
      </c>
      <c r="I53">
        <v>179809300</v>
      </c>
      <c r="J53">
        <v>1357</v>
      </c>
      <c r="K53">
        <v>216590226</v>
      </c>
      <c r="L53">
        <v>1342</v>
      </c>
      <c r="M53">
        <v>179807889</v>
      </c>
      <c r="N53">
        <v>1556</v>
      </c>
      <c r="O53">
        <v>72578052</v>
      </c>
    </row>
    <row r="54" spans="2:15" x14ac:dyDescent="0.25">
      <c r="B54">
        <v>4959</v>
      </c>
      <c r="C54">
        <v>182274558</v>
      </c>
      <c r="D54">
        <v>2688</v>
      </c>
      <c r="E54">
        <v>220590226</v>
      </c>
      <c r="F54">
        <v>2600</v>
      </c>
      <c r="G54">
        <v>183807889</v>
      </c>
      <c r="H54">
        <v>1482</v>
      </c>
      <c r="I54">
        <v>179809300</v>
      </c>
      <c r="J54">
        <v>1372</v>
      </c>
      <c r="K54">
        <v>216590226</v>
      </c>
      <c r="L54">
        <v>1294</v>
      </c>
      <c r="M54">
        <v>179807889</v>
      </c>
      <c r="N54">
        <v>1542</v>
      </c>
      <c r="O54">
        <v>72578052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12084</v>
      </c>
      <c r="C58">
        <v>5513</v>
      </c>
      <c r="D58">
        <v>5280</v>
      </c>
      <c r="E58">
        <v>4477</v>
      </c>
      <c r="F58">
        <v>2543</v>
      </c>
      <c r="G58">
        <v>2528</v>
      </c>
      <c r="H58">
        <v>3209</v>
      </c>
      <c r="I58">
        <v>671</v>
      </c>
      <c r="J58">
        <v>234</v>
      </c>
    </row>
    <row r="59" spans="2:15" x14ac:dyDescent="0.25">
      <c r="B59">
        <v>13794</v>
      </c>
      <c r="C59">
        <v>5513</v>
      </c>
      <c r="D59">
        <v>5366</v>
      </c>
      <c r="E59">
        <v>4633</v>
      </c>
      <c r="F59">
        <v>2605</v>
      </c>
      <c r="G59">
        <v>2528</v>
      </c>
      <c r="H59">
        <v>3201</v>
      </c>
      <c r="I59">
        <v>670</v>
      </c>
      <c r="J59">
        <v>203</v>
      </c>
    </row>
    <row r="60" spans="2:15" x14ac:dyDescent="0.25">
      <c r="B60">
        <v>12259</v>
      </c>
      <c r="C60">
        <v>5512</v>
      </c>
      <c r="D60">
        <v>5251</v>
      </c>
      <c r="E60">
        <v>4555</v>
      </c>
      <c r="F60">
        <v>2652</v>
      </c>
      <c r="G60">
        <v>2496</v>
      </c>
      <c r="H60">
        <v>3203</v>
      </c>
      <c r="I60">
        <v>671</v>
      </c>
      <c r="J60">
        <v>234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45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AVERAGE(Table63[Newtonsoft (duration)]) - J38</f>
        <v>2045.6666666666665</v>
      </c>
      <c r="D38" s="2">
        <f>AVERAGE(Table63[.NET baked full (duration)]) - J38</f>
        <v>741.99999999999989</v>
      </c>
      <c r="E38" s="2">
        <f>AVERAGE(Table63[.NET baked minimal (duration)]) - J38</f>
        <v>728.99999999999989</v>
      </c>
      <c r="F38" s="2">
        <f>AVERAGE(Table63[Jackson (duration)]) - J39</f>
        <v>853</v>
      </c>
      <c r="G38" s="2">
        <f>AVERAGE(Table63[JVM baked full (duration)]) - J39</f>
        <v>629.33333333333337</v>
      </c>
      <c r="H38" s="2">
        <f>AVERAGE(Table63[JVM baked minimal (duration)]) - J39</f>
        <v>582.66666666666663</v>
      </c>
      <c r="I38" s="2">
        <f>AVERAGE(Table63[Protobuf.NET (duration)]) - J38</f>
        <v>313</v>
      </c>
      <c r="J38" s="2">
        <f>AVERAGE(Table64[.NET (instance only)])</f>
        <v>647.33333333333337</v>
      </c>
      <c r="K38" s="2">
        <f>AVERAGE(Table64[JVM (instance only)])</f>
        <v>192.66666666666666</v>
      </c>
    </row>
    <row r="39" spans="2:11" x14ac:dyDescent="0.25">
      <c r="B39" t="s">
        <v>3</v>
      </c>
      <c r="C39" s="2">
        <f>C40-C38</f>
        <v>3587.0000000000005</v>
      </c>
      <c r="D39" s="2">
        <f t="shared" ref="D39:I39" si="0">D40-D38</f>
        <v>839.00000000000011</v>
      </c>
      <c r="E39" s="2">
        <f t="shared" si="0"/>
        <v>786.33333333333314</v>
      </c>
      <c r="F39" s="2">
        <f t="shared" ref="F39:H39" si="1">F40-F38</f>
        <v>1289.3333333333335</v>
      </c>
      <c r="G39" s="2">
        <f t="shared" si="1"/>
        <v>467.66666666666663</v>
      </c>
      <c r="H39" s="2">
        <f t="shared" si="1"/>
        <v>525.00000000000011</v>
      </c>
      <c r="I39" s="2">
        <f t="shared" si="0"/>
        <v>933.66666666666652</v>
      </c>
      <c r="J39" s="2"/>
      <c r="K39" s="2"/>
    </row>
    <row r="40" spans="2:11" x14ac:dyDescent="0.25">
      <c r="B40" t="s">
        <v>1</v>
      </c>
      <c r="C40" s="2">
        <f>AVERAGE(Table64[Newtonsoft (duration)]) - J38</f>
        <v>5632.666666666667</v>
      </c>
      <c r="D40" s="2">
        <f>AVERAGE(Table64[.NET baked full (duration)]) - J38</f>
        <v>1581</v>
      </c>
      <c r="E40" s="2">
        <f>AVERAGE(Table64[.NET baked minimal (duration)]) - J38</f>
        <v>1515.333333333333</v>
      </c>
      <c r="F40" s="2">
        <f>AVERAGE(Table64[Jackson (duration)]) - J39</f>
        <v>2142.3333333333335</v>
      </c>
      <c r="G40" s="2">
        <f>AVERAGE(Table64[JVM baked full (duration)]) - J39</f>
        <v>1097</v>
      </c>
      <c r="H40" s="2">
        <f>AVERAGE(Table64[JVM baked minimal (duration)]) - J39</f>
        <v>1107.6666666666667</v>
      </c>
      <c r="I40" s="2">
        <f>AVERAGE(Table64[Protobuf.NET (duration)]) - J38</f>
        <v>1246.6666666666665</v>
      </c>
      <c r="J40" s="2"/>
      <c r="K40" s="2"/>
    </row>
    <row r="41" spans="2:11" x14ac:dyDescent="0.25">
      <c r="B41" t="s">
        <v>8</v>
      </c>
      <c r="C41" s="3">
        <f>AVERAGE(Table63[Newtonsoft (size)])</f>
        <v>102068216</v>
      </c>
      <c r="D41" s="3">
        <f>AVERAGE(Table63[.NET baked full (size)])</f>
        <v>100367182</v>
      </c>
      <c r="E41" s="3">
        <f>AVERAGE(Table63[.NET baked minimal (size)])</f>
        <v>94448479</v>
      </c>
      <c r="F41" s="3">
        <f>AVERAGE(Table63[Jackson (size)])</f>
        <v>93002713.666666672</v>
      </c>
      <c r="G41" s="3">
        <f>AVERAGE(Table63[JVM baked full (size)])</f>
        <v>98534853.666666672</v>
      </c>
      <c r="H41" s="3">
        <f>AVERAGE(Table63[JVM baked minimal (size)])</f>
        <v>87101810.666666672</v>
      </c>
      <c r="I41" s="3">
        <f>AVERAGE(Table63[Protobuf.NET (size)])</f>
        <v>46379642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DEVSQ(Table63[Newtonsoft (duration)])</f>
        <v>19298</v>
      </c>
      <c r="D46" s="2">
        <f>DEVSQ(Table63[.NET baked full (duration)])</f>
        <v>4.666666666666667</v>
      </c>
      <c r="E46" s="2">
        <f>DEVSQ(Table63[.NET baked minimal (duration)])</f>
        <v>0.66666666666666674</v>
      </c>
      <c r="F46" s="2">
        <f>DEVSQ(Table63[Jackson (duration)])</f>
        <v>662</v>
      </c>
      <c r="G46" s="2">
        <f>DEVSQ(Table63[JVM baked full (duration)])</f>
        <v>170.66666666666669</v>
      </c>
      <c r="H46" s="2">
        <f>DEVSQ(Table63[JVM baked minimal (duration)])</f>
        <v>640.66666666666674</v>
      </c>
      <c r="I46" s="2">
        <f>DEVSQ(Table63[Protobuf.NET (duration)])</f>
        <v>24.666666666666664</v>
      </c>
    </row>
    <row r="47" spans="2:11" x14ac:dyDescent="0.25">
      <c r="B47" t="s">
        <v>1</v>
      </c>
      <c r="C47" s="2">
        <f>DEVSQ(Table64[Newtonsoft (duration)])</f>
        <v>10374</v>
      </c>
      <c r="D47" s="2">
        <f>DEVSQ(Table64[.NET baked full (duration)])</f>
        <v>448.66666666666663</v>
      </c>
      <c r="E47" s="2">
        <f>DEVSQ(Table64[.NET baked minimal (duration)])</f>
        <v>60.666666666666671</v>
      </c>
      <c r="F47" s="2">
        <f>DEVSQ(Table64[Jackson (duration)])</f>
        <v>2124.666666666667</v>
      </c>
      <c r="G47" s="2">
        <f>DEVSQ(Table64[JVM baked full (duration)])</f>
        <v>662</v>
      </c>
      <c r="H47" s="2">
        <f>DEVSQ(Table64[JVM baked minimal (duration)])</f>
        <v>1410.6666666666667</v>
      </c>
      <c r="I47" s="2">
        <f>DEVSQ(Table64[Protobuf.NET (duration)])</f>
        <v>206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2806</v>
      </c>
      <c r="C52">
        <v>102068216</v>
      </c>
      <c r="D52">
        <v>1388</v>
      </c>
      <c r="E52">
        <v>100367182</v>
      </c>
      <c r="F52">
        <v>1377</v>
      </c>
      <c r="G52">
        <v>94448479</v>
      </c>
      <c r="H52">
        <v>842</v>
      </c>
      <c r="I52">
        <v>93002714</v>
      </c>
      <c r="J52">
        <v>640</v>
      </c>
      <c r="K52">
        <v>98534707</v>
      </c>
      <c r="L52">
        <v>593</v>
      </c>
      <c r="M52">
        <v>87102104</v>
      </c>
      <c r="N52">
        <v>964</v>
      </c>
      <c r="O52">
        <v>46379642</v>
      </c>
    </row>
    <row r="53" spans="2:15" x14ac:dyDescent="0.25">
      <c r="B53">
        <v>2628</v>
      </c>
      <c r="C53">
        <v>102068216</v>
      </c>
      <c r="D53">
        <v>1391</v>
      </c>
      <c r="E53">
        <v>100367182</v>
      </c>
      <c r="F53">
        <v>1376</v>
      </c>
      <c r="G53">
        <v>94448479</v>
      </c>
      <c r="H53">
        <v>874</v>
      </c>
      <c r="I53">
        <v>93002713</v>
      </c>
      <c r="J53">
        <v>624</v>
      </c>
      <c r="K53">
        <v>98534267</v>
      </c>
      <c r="L53">
        <v>593</v>
      </c>
      <c r="M53">
        <v>87101664</v>
      </c>
      <c r="N53">
        <v>960</v>
      </c>
      <c r="O53">
        <v>46379642</v>
      </c>
    </row>
    <row r="54" spans="2:15" x14ac:dyDescent="0.25">
      <c r="B54">
        <v>2645</v>
      </c>
      <c r="C54">
        <v>102068216</v>
      </c>
      <c r="D54">
        <v>1389</v>
      </c>
      <c r="E54">
        <v>100367182</v>
      </c>
      <c r="F54">
        <v>1376</v>
      </c>
      <c r="G54">
        <v>94448479</v>
      </c>
      <c r="H54">
        <v>843</v>
      </c>
      <c r="I54">
        <v>93002714</v>
      </c>
      <c r="J54">
        <v>624</v>
      </c>
      <c r="K54">
        <v>98535587</v>
      </c>
      <c r="L54">
        <v>562</v>
      </c>
      <c r="M54">
        <v>87101664</v>
      </c>
      <c r="N54">
        <v>957</v>
      </c>
      <c r="O54">
        <v>46379642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6218</v>
      </c>
      <c r="C58">
        <v>2245</v>
      </c>
      <c r="D58">
        <v>2160</v>
      </c>
      <c r="E58">
        <v>2169</v>
      </c>
      <c r="F58">
        <v>1108</v>
      </c>
      <c r="G58">
        <v>1077</v>
      </c>
      <c r="H58">
        <v>1885</v>
      </c>
      <c r="I58">
        <v>646</v>
      </c>
      <c r="J58">
        <v>188</v>
      </c>
    </row>
    <row r="59" spans="2:15" x14ac:dyDescent="0.25">
      <c r="B59">
        <v>6263</v>
      </c>
      <c r="C59">
        <v>2224</v>
      </c>
      <c r="D59">
        <v>2169</v>
      </c>
      <c r="E59">
        <v>2106</v>
      </c>
      <c r="F59">
        <v>1107</v>
      </c>
      <c r="G59">
        <v>1123</v>
      </c>
      <c r="H59">
        <v>1892</v>
      </c>
      <c r="I59">
        <v>648</v>
      </c>
      <c r="J59">
        <v>187</v>
      </c>
    </row>
    <row r="60" spans="2:15" x14ac:dyDescent="0.25">
      <c r="B60">
        <v>6359</v>
      </c>
      <c r="C60">
        <v>2216</v>
      </c>
      <c r="D60">
        <v>2159</v>
      </c>
      <c r="E60">
        <v>2152</v>
      </c>
      <c r="F60">
        <v>1076</v>
      </c>
      <c r="G60">
        <v>1123</v>
      </c>
      <c r="H60">
        <v>1905</v>
      </c>
      <c r="I60">
        <v>648</v>
      </c>
      <c r="J60">
        <v>203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46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AVERAGE(Table67[Newtonsoft (duration)]) - J38</f>
        <v>20459.333333333332</v>
      </c>
      <c r="D38" s="2">
        <f>AVERAGE(Table67[.NET baked full (duration)]) - J38</f>
        <v>7584</v>
      </c>
      <c r="E38" s="2">
        <f>AVERAGE(Table67[.NET baked minimal (duration)]) - J38</f>
        <v>7366</v>
      </c>
      <c r="F38" s="2">
        <f>AVERAGE(Table67[Jackson (duration)]) - J39</f>
        <v>5746</v>
      </c>
      <c r="G38" s="2">
        <f>AVERAGE(Table67[JVM baked full (duration)]) - J39</f>
        <v>4180.666666666667</v>
      </c>
      <c r="H38" s="2">
        <f>AVERAGE(Table67[JVM baked minimal (duration)]) - J39</f>
        <v>4076.6666666666665</v>
      </c>
      <c r="I38" s="2">
        <f>AVERAGE(Table67[Protobuf.NET (duration)]) - J38</f>
        <v>3062.3333333333339</v>
      </c>
      <c r="J38" s="2">
        <f>AVERAGE(Table68[.NET (instance only)])</f>
        <v>6512</v>
      </c>
      <c r="K38" s="2">
        <f>AVERAGE(Table68[JVM (instance only)])</f>
        <v>1269</v>
      </c>
    </row>
    <row r="39" spans="2:11" x14ac:dyDescent="0.25">
      <c r="B39" t="s">
        <v>3</v>
      </c>
      <c r="C39" s="2">
        <f>C40-C38</f>
        <v>36431.666666666672</v>
      </c>
      <c r="D39" s="2">
        <f t="shared" ref="D39:I39" si="0">D40-D38</f>
        <v>8214.6666666666679</v>
      </c>
      <c r="E39" s="2">
        <f t="shared" si="0"/>
        <v>7813.3333333333321</v>
      </c>
      <c r="F39" s="2">
        <f t="shared" ref="F39:H39" si="1">F40-F38</f>
        <v>12022</v>
      </c>
      <c r="G39" s="2">
        <f t="shared" si="1"/>
        <v>3193</v>
      </c>
      <c r="H39" s="2">
        <f t="shared" si="1"/>
        <v>2803.3333333333335</v>
      </c>
      <c r="I39" s="2">
        <f t="shared" si="0"/>
        <v>9254.6666666666661</v>
      </c>
      <c r="J39" s="2"/>
      <c r="K39" s="2"/>
    </row>
    <row r="40" spans="2:11" x14ac:dyDescent="0.25">
      <c r="B40" t="s">
        <v>1</v>
      </c>
      <c r="C40" s="2">
        <f>AVERAGE(Table68[Newtonsoft (duration)]) - J38</f>
        <v>56891</v>
      </c>
      <c r="D40" s="2">
        <f>AVERAGE(Table68[.NET baked full (duration)]) - J38</f>
        <v>15798.666666666668</v>
      </c>
      <c r="E40" s="2">
        <f>AVERAGE(Table68[.NET baked minimal (duration)]) - J38</f>
        <v>15179.333333333332</v>
      </c>
      <c r="F40" s="2">
        <f>AVERAGE(Table68[Jackson (duration)]) - J39</f>
        <v>17768</v>
      </c>
      <c r="G40" s="2">
        <f>AVERAGE(Table68[JVM baked full (duration)]) - J39</f>
        <v>7373.666666666667</v>
      </c>
      <c r="H40" s="2">
        <f>AVERAGE(Table68[JVM baked minimal (duration)]) - J39</f>
        <v>6880</v>
      </c>
      <c r="I40" s="2">
        <f>AVERAGE(Table68[Protobuf.NET (duration)]) - J38</f>
        <v>12317</v>
      </c>
      <c r="J40" s="2"/>
      <c r="K40" s="2"/>
    </row>
    <row r="41" spans="2:11" x14ac:dyDescent="0.25">
      <c r="B41" t="s">
        <v>8</v>
      </c>
      <c r="C41" s="3">
        <f>AVERAGE(Table67[Newtonsoft (size)])</f>
        <v>1035439093.3333334</v>
      </c>
      <c r="D41" s="3">
        <f>AVERAGE(Table67[.NET baked full (size)])</f>
        <v>1019005810</v>
      </c>
      <c r="E41" s="3">
        <f>AVERAGE(Table67[.NET baked minimal (size)])</f>
        <v>959819407</v>
      </c>
      <c r="F41" s="3">
        <f>AVERAGE(Table67[Jackson (size)])</f>
        <v>940324286</v>
      </c>
      <c r="G41" s="3">
        <f>AVERAGE(Table67[JVM baked full (size)])</f>
        <v>995672141.66666663</v>
      </c>
      <c r="H41" s="3">
        <f>AVERAGE(Table67[JVM baked minimal (size)])</f>
        <v>881328405.33333337</v>
      </c>
      <c r="I41" s="3">
        <f>AVERAGE(Table67[Protobuf.NET (size)])</f>
        <v>474011652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DEVSQ(Table67[Newtonsoft (duration)])</f>
        <v>1347652.6666666667</v>
      </c>
      <c r="D46" s="2">
        <f>DEVSQ(Table67[.NET baked full (duration)])</f>
        <v>20168</v>
      </c>
      <c r="E46" s="2">
        <f>DEVSQ(Table67[.NET baked minimal (duration)])</f>
        <v>2558</v>
      </c>
      <c r="F46" s="2">
        <f>DEVSQ(Table67[Jackson (duration)])</f>
        <v>55518</v>
      </c>
      <c r="G46" s="2">
        <f>DEVSQ(Table67[JVM baked full (duration)])</f>
        <v>29808.666666666668</v>
      </c>
      <c r="H46" s="2">
        <f>DEVSQ(Table67[JVM baked minimal (duration)])</f>
        <v>41980.666666666664</v>
      </c>
      <c r="I46" s="2">
        <f>DEVSQ(Table67[Protobuf.NET (duration)])</f>
        <v>6780.6666666666661</v>
      </c>
    </row>
    <row r="47" spans="2:11" x14ac:dyDescent="0.25">
      <c r="B47" t="s">
        <v>1</v>
      </c>
      <c r="C47" s="2">
        <f>DEVSQ(Table68[Newtonsoft (duration)])</f>
        <v>2621346</v>
      </c>
      <c r="D47" s="2">
        <f>DEVSQ(Table68[.NET baked full (duration)])</f>
        <v>4114.666666666667</v>
      </c>
      <c r="E47" s="2">
        <f>DEVSQ(Table68[.NET baked minimal (duration)])</f>
        <v>2340.666666666667</v>
      </c>
      <c r="F47" s="2">
        <f>DEVSQ(Table68[Jackson (duration)])</f>
        <v>194426</v>
      </c>
      <c r="G47" s="2">
        <f>DEVSQ(Table68[JVM baked full (duration)])</f>
        <v>59850.666666666664</v>
      </c>
      <c r="H47" s="2">
        <f>DEVSQ(Table68[JVM baked minimal (duration)])</f>
        <v>9254</v>
      </c>
      <c r="I47" s="2">
        <f>DEVSQ(Table68[Protobuf.NET (duration)])</f>
        <v>7350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26514</v>
      </c>
      <c r="C52">
        <v>1036016760</v>
      </c>
      <c r="D52">
        <v>14014</v>
      </c>
      <c r="E52">
        <v>1019005810</v>
      </c>
      <c r="F52">
        <v>13873</v>
      </c>
      <c r="G52">
        <v>959819407</v>
      </c>
      <c r="H52">
        <v>5601</v>
      </c>
      <c r="I52">
        <v>940324286</v>
      </c>
      <c r="J52">
        <v>4243</v>
      </c>
      <c r="K52">
        <v>995697075</v>
      </c>
      <c r="L52">
        <v>3978</v>
      </c>
      <c r="M52">
        <v>881307872</v>
      </c>
      <c r="N52">
        <v>9554</v>
      </c>
      <c r="O52">
        <v>474011652</v>
      </c>
    </row>
    <row r="53" spans="2:15" x14ac:dyDescent="0.25">
      <c r="B53">
        <v>26481</v>
      </c>
      <c r="C53">
        <v>1036016760</v>
      </c>
      <c r="D53">
        <v>14066</v>
      </c>
      <c r="E53">
        <v>1019005810</v>
      </c>
      <c r="F53">
        <v>13916</v>
      </c>
      <c r="G53">
        <v>959819407</v>
      </c>
      <c r="H53">
        <v>5928</v>
      </c>
      <c r="I53">
        <v>940324286</v>
      </c>
      <c r="J53">
        <v>4259</v>
      </c>
      <c r="K53">
        <v>995679475</v>
      </c>
      <c r="L53">
        <v>4009</v>
      </c>
      <c r="M53">
        <v>881314472</v>
      </c>
      <c r="N53">
        <v>9640</v>
      </c>
      <c r="O53">
        <v>474011652</v>
      </c>
    </row>
    <row r="54" spans="2:15" x14ac:dyDescent="0.25">
      <c r="B54">
        <v>27919</v>
      </c>
      <c r="C54">
        <v>1034283760</v>
      </c>
      <c r="D54">
        <v>14208</v>
      </c>
      <c r="E54">
        <v>1019005810</v>
      </c>
      <c r="F54">
        <v>13845</v>
      </c>
      <c r="G54">
        <v>959819407</v>
      </c>
      <c r="H54">
        <v>5709</v>
      </c>
      <c r="I54">
        <v>940324286</v>
      </c>
      <c r="J54">
        <v>4040</v>
      </c>
      <c r="K54">
        <v>995639875</v>
      </c>
      <c r="L54">
        <v>4243</v>
      </c>
      <c r="M54">
        <v>881362872</v>
      </c>
      <c r="N54">
        <v>9529</v>
      </c>
      <c r="O54">
        <v>474011652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64724</v>
      </c>
      <c r="C58">
        <v>22294</v>
      </c>
      <c r="D58">
        <v>21730</v>
      </c>
      <c r="E58">
        <v>17924</v>
      </c>
      <c r="F58">
        <v>7395</v>
      </c>
      <c r="G58">
        <v>6802</v>
      </c>
      <c r="H58">
        <v>18794</v>
      </c>
      <c r="I58">
        <v>6506</v>
      </c>
      <c r="J58">
        <v>1280</v>
      </c>
    </row>
    <row r="59" spans="2:15" x14ac:dyDescent="0.25">
      <c r="B59">
        <v>62786</v>
      </c>
      <c r="C59">
        <v>22276</v>
      </c>
      <c r="D59">
        <v>21665</v>
      </c>
      <c r="E59">
        <v>17409</v>
      </c>
      <c r="F59">
        <v>7535</v>
      </c>
      <c r="G59">
        <v>6911</v>
      </c>
      <c r="H59">
        <v>18899</v>
      </c>
      <c r="I59">
        <v>6528</v>
      </c>
      <c r="J59">
        <v>1295</v>
      </c>
    </row>
    <row r="60" spans="2:15" x14ac:dyDescent="0.25">
      <c r="B60">
        <v>62699</v>
      </c>
      <c r="C60">
        <v>22362</v>
      </c>
      <c r="D60">
        <v>21679</v>
      </c>
      <c r="E60">
        <v>17971</v>
      </c>
      <c r="F60">
        <v>7191</v>
      </c>
      <c r="G60">
        <v>6927</v>
      </c>
      <c r="H60">
        <v>18794</v>
      </c>
      <c r="I60">
        <v>6502</v>
      </c>
      <c r="J60">
        <v>1232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47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AVERAGE(Table71[Newtonsoft (duration)]) - J38</f>
        <v>200497.66666666663</v>
      </c>
      <c r="D38" s="2">
        <f>AVERAGE(Table71[.NET baked full (duration)]) - J38</f>
        <v>75559.999999999985</v>
      </c>
      <c r="E38" s="2">
        <f>AVERAGE(Table71[.NET baked minimal (duration)]) - J38</f>
        <v>73821.666666666672</v>
      </c>
      <c r="F38" s="2">
        <f>AVERAGE(Table71[Jackson (duration)]) - J39</f>
        <v>56045.666666666664</v>
      </c>
      <c r="G38" s="2">
        <f>AVERAGE(Table71[JVM baked full (duration)]) - J39</f>
        <v>38131.666666666664</v>
      </c>
      <c r="H38" s="2">
        <f>AVERAGE(Table71[JVM baked minimal (duration)]) - J39</f>
        <v>37217</v>
      </c>
      <c r="I38" s="2">
        <f>AVERAGE(Table71[Protobuf.NET (duration)]) - J38</f>
        <v>30254.666666666657</v>
      </c>
      <c r="J38" s="2">
        <f>AVERAGE(Table72[.NET (instance only)])</f>
        <v>65642.666666666672</v>
      </c>
      <c r="K38" s="2">
        <f>AVERAGE(Table72[JVM (instance only)])</f>
        <v>13073</v>
      </c>
    </row>
    <row r="39" spans="2:11" x14ac:dyDescent="0.25">
      <c r="B39" t="s">
        <v>3</v>
      </c>
      <c r="C39" s="2">
        <f>C40-C38</f>
        <v>385411.00000000012</v>
      </c>
      <c r="D39" s="2">
        <f t="shared" ref="D39:I39" si="0">D40-D38</f>
        <v>83182.000000000015</v>
      </c>
      <c r="E39" s="2">
        <f t="shared" si="0"/>
        <v>79320.000000000015</v>
      </c>
      <c r="F39" s="2">
        <f t="shared" ref="F39:H39" si="1">F40-F38</f>
        <v>115767.66666666669</v>
      </c>
      <c r="G39" s="2">
        <f t="shared" si="1"/>
        <v>28823.666666666664</v>
      </c>
      <c r="H39" s="2">
        <f t="shared" si="1"/>
        <v>25604</v>
      </c>
      <c r="I39" s="2">
        <f t="shared" si="0"/>
        <v>92909.666666666672</v>
      </c>
      <c r="J39" s="2"/>
      <c r="K39" s="2"/>
    </row>
    <row r="40" spans="2:11" x14ac:dyDescent="0.25">
      <c r="B40" t="s">
        <v>1</v>
      </c>
      <c r="C40" s="2">
        <f>AVERAGE(Table72[Newtonsoft (duration)]) - J38</f>
        <v>585908.66666666674</v>
      </c>
      <c r="D40" s="2">
        <f>AVERAGE(Table72[.NET baked full (duration)]) - J38</f>
        <v>158742</v>
      </c>
      <c r="E40" s="2">
        <f>AVERAGE(Table72[.NET baked minimal (duration)]) - J38</f>
        <v>153141.66666666669</v>
      </c>
      <c r="F40" s="2">
        <f>AVERAGE(Table72[Jackson (duration)]) - J39</f>
        <v>171813.33333333334</v>
      </c>
      <c r="G40" s="2">
        <f>AVERAGE(Table72[JVM baked full (duration)]) - J39</f>
        <v>66955.333333333328</v>
      </c>
      <c r="H40" s="2">
        <f>AVERAGE(Table72[JVM baked minimal (duration)]) - J39</f>
        <v>62821</v>
      </c>
      <c r="I40" s="2">
        <f>AVERAGE(Table72[Protobuf.NET (duration)]) - J38</f>
        <v>123164.33333333333</v>
      </c>
      <c r="J40" s="2"/>
      <c r="K40" s="2"/>
    </row>
    <row r="41" spans="2:11" x14ac:dyDescent="0.25">
      <c r="B41" t="s">
        <v>8</v>
      </c>
      <c r="C41" s="3">
        <f>AVERAGE(Table71[Newtonsoft (size)])</f>
        <v>10513667763</v>
      </c>
      <c r="D41" s="3">
        <f>AVERAGE(Table71[.NET baked full (size)])</f>
        <v>10343557825</v>
      </c>
      <c r="E41" s="3">
        <f>AVERAGE(Table71[.NET baked minimal (size)])</f>
        <v>9751694422</v>
      </c>
      <c r="F41" s="3">
        <f>AVERAGE(Table71[Jackson (size)])</f>
        <v>9506224119</v>
      </c>
      <c r="G41" s="3">
        <f>AVERAGE(Table71[JVM baked full (size)])</f>
        <v>10059644104</v>
      </c>
      <c r="H41" s="3">
        <f>AVERAGE(Table71[JVM baked minimal (size)])</f>
        <v>8916317367.666666</v>
      </c>
      <c r="I41" s="3">
        <f>AVERAGE(Table71[Protobuf.NET (size)])</f>
        <v>4841867567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DEVSQ(Table71[Newtonsoft (duration)])</f>
        <v>1265640.6666666667</v>
      </c>
      <c r="D46" s="2">
        <f>DEVSQ(Table71[.NET baked full (duration)])</f>
        <v>735648.66666666674</v>
      </c>
      <c r="E46" s="2">
        <f>DEVSQ(Table71[.NET baked minimal (duration)])</f>
        <v>2088.666666666667</v>
      </c>
      <c r="F46" s="2">
        <f>DEVSQ(Table71[Jackson (duration)])</f>
        <v>514140.66666666674</v>
      </c>
      <c r="G46" s="2">
        <f>DEVSQ(Table71[JVM baked full (duration)])</f>
        <v>771068.66666666674</v>
      </c>
      <c r="H46" s="2">
        <f>DEVSQ(Table71[JVM baked minimal (duration)])</f>
        <v>2986202</v>
      </c>
      <c r="I46" s="2">
        <f>DEVSQ(Table71[Protobuf.NET (duration)])</f>
        <v>19730.666666666664</v>
      </c>
    </row>
    <row r="47" spans="2:11" x14ac:dyDescent="0.25">
      <c r="B47" t="s">
        <v>1</v>
      </c>
      <c r="C47" s="2">
        <f>DEVSQ(Table72[Newtonsoft (duration)])</f>
        <v>2588363884.6666665</v>
      </c>
      <c r="D47" s="2">
        <f>DEVSQ(Table72[.NET baked full (duration)])</f>
        <v>572048.66666666674</v>
      </c>
      <c r="E47" s="2">
        <f>DEVSQ(Table72[.NET baked minimal (duration)])</f>
        <v>513924.66666666669</v>
      </c>
      <c r="F47" s="2">
        <f>DEVSQ(Table72[Jackson (duration)])</f>
        <v>54468040.666666664</v>
      </c>
      <c r="G47" s="2">
        <f>DEVSQ(Table72[JVM baked full (duration)])</f>
        <v>1310050.6666666667</v>
      </c>
      <c r="H47" s="2">
        <f>DEVSQ(Table72[JVM baked minimal (duration)])</f>
        <v>246518</v>
      </c>
      <c r="I47" s="2">
        <f>DEVSQ(Table72[Protobuf.NET (duration)])</f>
        <v>12128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267053</v>
      </c>
      <c r="C52">
        <v>10513667763</v>
      </c>
      <c r="D52">
        <v>140821</v>
      </c>
      <c r="E52">
        <v>10343557825</v>
      </c>
      <c r="F52">
        <v>139437</v>
      </c>
      <c r="G52">
        <v>9751694422</v>
      </c>
      <c r="H52">
        <v>56550</v>
      </c>
      <c r="I52">
        <v>9506224119</v>
      </c>
      <c r="J52">
        <v>37846</v>
      </c>
      <c r="K52">
        <v>10059468104</v>
      </c>
      <c r="L52">
        <v>38548</v>
      </c>
      <c r="M52">
        <v>8916390701</v>
      </c>
      <c r="N52">
        <v>96012</v>
      </c>
      <c r="O52">
        <v>4841867567</v>
      </c>
    </row>
    <row r="53" spans="2:15" x14ac:dyDescent="0.25">
      <c r="B53">
        <v>265594</v>
      </c>
      <c r="C53">
        <v>10513667763</v>
      </c>
      <c r="D53">
        <v>141902</v>
      </c>
      <c r="E53">
        <v>10343557825</v>
      </c>
      <c r="F53">
        <v>139456</v>
      </c>
      <c r="G53">
        <v>9751694422</v>
      </c>
      <c r="H53">
        <v>55536</v>
      </c>
      <c r="I53">
        <v>9506224119</v>
      </c>
      <c r="J53">
        <v>37705</v>
      </c>
      <c r="K53">
        <v>10059512104</v>
      </c>
      <c r="L53">
        <v>36957</v>
      </c>
      <c r="M53">
        <v>8916412701</v>
      </c>
      <c r="N53">
        <v>95838</v>
      </c>
      <c r="O53">
        <v>4841867567</v>
      </c>
    </row>
    <row r="54" spans="2:15" x14ac:dyDescent="0.25">
      <c r="B54">
        <v>265774</v>
      </c>
      <c r="C54">
        <v>10513667763</v>
      </c>
      <c r="D54">
        <v>140885</v>
      </c>
      <c r="E54">
        <v>10343557825</v>
      </c>
      <c r="F54">
        <v>139500</v>
      </c>
      <c r="G54">
        <v>9751694422</v>
      </c>
      <c r="H54">
        <v>56051</v>
      </c>
      <c r="I54">
        <v>9506224119</v>
      </c>
      <c r="J54">
        <v>38844</v>
      </c>
      <c r="K54">
        <v>10059952104</v>
      </c>
      <c r="L54">
        <v>36146</v>
      </c>
      <c r="M54">
        <v>8916148701</v>
      </c>
      <c r="N54">
        <v>95842</v>
      </c>
      <c r="O54">
        <v>4841867567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624595</v>
      </c>
      <c r="C58">
        <v>224999</v>
      </c>
      <c r="D58">
        <v>218628</v>
      </c>
      <c r="E58">
        <v>168293</v>
      </c>
      <c r="F58">
        <v>66300</v>
      </c>
      <c r="G58">
        <v>63039</v>
      </c>
      <c r="H58">
        <v>188895</v>
      </c>
      <c r="I58">
        <v>65593</v>
      </c>
      <c r="J58">
        <v>11919</v>
      </c>
    </row>
    <row r="59" spans="2:15" x14ac:dyDescent="0.25">
      <c r="B59">
        <v>692401</v>
      </c>
      <c r="C59">
        <v>224132</v>
      </c>
      <c r="D59">
        <v>219351</v>
      </c>
      <c r="E59">
        <v>177809</v>
      </c>
      <c r="F59">
        <v>66706</v>
      </c>
      <c r="G59">
        <v>63008</v>
      </c>
      <c r="H59">
        <v>188779</v>
      </c>
      <c r="I59">
        <v>65584</v>
      </c>
      <c r="J59">
        <v>11638</v>
      </c>
    </row>
    <row r="60" spans="2:15" x14ac:dyDescent="0.25">
      <c r="B60">
        <v>637658</v>
      </c>
      <c r="C60">
        <v>224023</v>
      </c>
      <c r="D60">
        <v>218374</v>
      </c>
      <c r="E60">
        <v>169338</v>
      </c>
      <c r="F60">
        <v>67860</v>
      </c>
      <c r="G60">
        <v>62416</v>
      </c>
      <c r="H60">
        <v>188747</v>
      </c>
      <c r="I60">
        <v>65751</v>
      </c>
      <c r="J60">
        <v>15662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48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AVERAGE(Table75[Newtonsoft (duration)]) - J38</f>
        <v>972.66666666666674</v>
      </c>
      <c r="D38" s="2">
        <f>AVERAGE(Table75[.NET baked full (duration)]) - J38</f>
        <v>410.33333333333331</v>
      </c>
      <c r="E38" s="2">
        <f>AVERAGE(Table75[.NET baked minimal (duration)]) - J38</f>
        <v>395.33333333333331</v>
      </c>
      <c r="F38" s="2">
        <f>AVERAGE(Table75[Jackson (duration)]) - J39</f>
        <v>702</v>
      </c>
      <c r="G38" s="2">
        <f>AVERAGE(Table75[JVM baked full (duration)]) - J39</f>
        <v>640</v>
      </c>
      <c r="H38" s="2">
        <f>AVERAGE(Table75[JVM baked minimal (duration)]) - J39</f>
        <v>592.33333333333337</v>
      </c>
      <c r="I38" s="2">
        <f>AVERAGE(Table75[Protobuf.NET (duration)]) - J38</f>
        <v>280.00000000000006</v>
      </c>
      <c r="J38" s="2">
        <f>AVERAGE(Table76[.NET (instance only)])</f>
        <v>319.33333333333331</v>
      </c>
      <c r="K38" s="2">
        <f>AVERAGE(Table76[JVM (instance only)])</f>
        <v>223.66666666666666</v>
      </c>
    </row>
    <row r="39" spans="2:11" x14ac:dyDescent="0.25">
      <c r="B39" t="s">
        <v>3</v>
      </c>
      <c r="C39" s="2">
        <f>C40-C38</f>
        <v>1449.3333333333333</v>
      </c>
      <c r="D39" s="2">
        <f t="shared" ref="D39:I39" si="0">D40-D38</f>
        <v>684.00000000000023</v>
      </c>
      <c r="E39" s="2">
        <f t="shared" si="0"/>
        <v>670.33333333333348</v>
      </c>
      <c r="F39" s="2">
        <f t="shared" ref="F39:H39" si="1">F40-F38</f>
        <v>982.66666666666674</v>
      </c>
      <c r="G39" s="2">
        <f t="shared" si="1"/>
        <v>862.66666666666674</v>
      </c>
      <c r="H39" s="2">
        <f t="shared" si="1"/>
        <v>817.33333333333337</v>
      </c>
      <c r="I39" s="2">
        <f t="shared" si="0"/>
        <v>552</v>
      </c>
      <c r="J39" s="2"/>
      <c r="K39" s="2"/>
    </row>
    <row r="40" spans="2:11" x14ac:dyDescent="0.25">
      <c r="B40" t="s">
        <v>1</v>
      </c>
      <c r="C40" s="2">
        <f>AVERAGE(Table76[Newtonsoft (duration)]) - J38</f>
        <v>2422</v>
      </c>
      <c r="D40" s="2">
        <f>AVERAGE(Table76[.NET baked full (duration)]) - J38</f>
        <v>1094.3333333333335</v>
      </c>
      <c r="E40" s="2">
        <f>AVERAGE(Table76[.NET baked minimal (duration)]) - J38</f>
        <v>1065.6666666666667</v>
      </c>
      <c r="F40" s="2">
        <f>AVERAGE(Table76[Jackson (duration)]) - J39</f>
        <v>1684.6666666666667</v>
      </c>
      <c r="G40" s="2">
        <f>AVERAGE(Table76[JVM baked full (duration)]) - J39</f>
        <v>1502.6666666666667</v>
      </c>
      <c r="H40" s="2">
        <f>AVERAGE(Table76[JVM baked minimal (duration)]) - J39</f>
        <v>1409.6666666666667</v>
      </c>
      <c r="I40" s="2">
        <f>AVERAGE(Table76[Protobuf.NET (duration)]) - J38</f>
        <v>832</v>
      </c>
      <c r="J40" s="2"/>
      <c r="K40" s="2"/>
    </row>
    <row r="41" spans="2:11" x14ac:dyDescent="0.25">
      <c r="B41" t="s">
        <v>8</v>
      </c>
      <c r="C41" s="3">
        <f>AVERAGE(Table75[Newtonsoft (size)])</f>
        <v>53958047</v>
      </c>
      <c r="D41" s="3">
        <f>AVERAGE(Table75[.NET baked full (size)])</f>
        <v>53385449</v>
      </c>
      <c r="E41" s="3">
        <f>AVERAGE(Table75[.NET baked minimal (size)])</f>
        <v>49687553</v>
      </c>
      <c r="F41" s="3">
        <f>AVERAGE(Table75[Jackson (size)])</f>
        <v>50016357</v>
      </c>
      <c r="G41" s="3">
        <f>AVERAGE(Table75[JVM baked full (size)])</f>
        <v>53711987</v>
      </c>
      <c r="H41" s="3">
        <f>AVERAGE(Table75[JVM baked minimal (size)])</f>
        <v>49958913</v>
      </c>
      <c r="I41" s="3">
        <f>AVERAGE(Table75[Protobuf.NET (size)])</f>
        <v>23140661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DEVSQ(Table75[Newtonsoft (duration)])</f>
        <v>3482</v>
      </c>
      <c r="D46" s="2">
        <f>DEVSQ(Table75[.NET baked full (duration)])</f>
        <v>682.66666666666674</v>
      </c>
      <c r="E46" s="2">
        <f>DEVSQ(Table75[.NET baked minimal (duration)])</f>
        <v>192.66666666666669</v>
      </c>
      <c r="F46" s="2">
        <f>DEVSQ(Table75[Jackson (duration)])</f>
        <v>0</v>
      </c>
      <c r="G46" s="2">
        <f>DEVSQ(Table75[JVM baked full (duration)])</f>
        <v>1922</v>
      </c>
      <c r="H46" s="2">
        <f>DEVSQ(Table75[JVM baked minimal (duration)])</f>
        <v>480.66666666666669</v>
      </c>
      <c r="I46" s="2">
        <f>DEVSQ(Table75[Protobuf.NET (duration)])</f>
        <v>0.66666666666666663</v>
      </c>
    </row>
    <row r="47" spans="2:11" x14ac:dyDescent="0.25">
      <c r="B47" t="s">
        <v>1</v>
      </c>
      <c r="C47" s="2">
        <f>DEVSQ(Table76[Newtonsoft (duration)])</f>
        <v>7816.666666666667</v>
      </c>
      <c r="D47" s="2">
        <f>DEVSQ(Table76[.NET baked full (duration)])</f>
        <v>60.666666666666657</v>
      </c>
      <c r="E47" s="2">
        <f>DEVSQ(Table76[.NET baked minimal (duration)])</f>
        <v>78</v>
      </c>
      <c r="F47" s="2">
        <f>DEVSQ(Table76[Jackson (duration)])</f>
        <v>512.66666666666674</v>
      </c>
      <c r="G47" s="2">
        <f>DEVSQ(Table76[JVM baked full (duration)])</f>
        <v>4484.6666666666661</v>
      </c>
      <c r="H47" s="2">
        <f>DEVSQ(Table76[JVM baked minimal (duration)])</f>
        <v>1152.6666666666667</v>
      </c>
      <c r="I47" s="2">
        <f>DEVSQ(Table76[Protobuf.NET (duration)])</f>
        <v>24.666666666666668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1336</v>
      </c>
      <c r="C52">
        <v>53958047</v>
      </c>
      <c r="D52">
        <v>751</v>
      </c>
      <c r="E52">
        <v>53385449</v>
      </c>
      <c r="F52">
        <v>726</v>
      </c>
      <c r="G52">
        <v>49687553</v>
      </c>
      <c r="H52">
        <v>702</v>
      </c>
      <c r="I52">
        <v>50016357</v>
      </c>
      <c r="J52">
        <v>609</v>
      </c>
      <c r="K52">
        <v>53711987</v>
      </c>
      <c r="L52">
        <v>608</v>
      </c>
      <c r="M52">
        <v>49958913</v>
      </c>
      <c r="N52">
        <v>600</v>
      </c>
      <c r="O52">
        <v>23140661</v>
      </c>
    </row>
    <row r="53" spans="2:15" x14ac:dyDescent="0.25">
      <c r="B53">
        <v>1287</v>
      </c>
      <c r="C53">
        <v>53958047</v>
      </c>
      <c r="D53">
        <v>719</v>
      </c>
      <c r="E53">
        <v>53385449</v>
      </c>
      <c r="F53">
        <v>709</v>
      </c>
      <c r="G53">
        <v>49687553</v>
      </c>
      <c r="H53">
        <v>702</v>
      </c>
      <c r="I53">
        <v>50016357</v>
      </c>
      <c r="J53">
        <v>671</v>
      </c>
      <c r="K53">
        <v>53711987</v>
      </c>
      <c r="L53">
        <v>592</v>
      </c>
      <c r="M53">
        <v>49958913</v>
      </c>
      <c r="N53">
        <v>599</v>
      </c>
      <c r="O53">
        <v>23140661</v>
      </c>
    </row>
    <row r="54" spans="2:15" x14ac:dyDescent="0.25">
      <c r="B54">
        <v>1253</v>
      </c>
      <c r="C54">
        <v>53958047</v>
      </c>
      <c r="D54">
        <v>719</v>
      </c>
      <c r="E54">
        <v>53385449</v>
      </c>
      <c r="F54">
        <v>709</v>
      </c>
      <c r="G54">
        <v>49687553</v>
      </c>
      <c r="H54">
        <v>702</v>
      </c>
      <c r="I54">
        <v>50016357</v>
      </c>
      <c r="J54">
        <v>640</v>
      </c>
      <c r="K54">
        <v>53711987</v>
      </c>
      <c r="L54">
        <v>577</v>
      </c>
      <c r="M54">
        <v>49958913</v>
      </c>
      <c r="N54">
        <v>599</v>
      </c>
      <c r="O54">
        <v>23140661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2803</v>
      </c>
      <c r="C58">
        <v>1410</v>
      </c>
      <c r="D58">
        <v>1383</v>
      </c>
      <c r="E58">
        <v>1669</v>
      </c>
      <c r="F58">
        <v>1513</v>
      </c>
      <c r="G58">
        <v>1389</v>
      </c>
      <c r="H58">
        <v>1148</v>
      </c>
      <c r="I58">
        <v>320</v>
      </c>
      <c r="J58">
        <v>218</v>
      </c>
    </row>
    <row r="59" spans="2:15" x14ac:dyDescent="0.25">
      <c r="B59">
        <v>2678</v>
      </c>
      <c r="C59">
        <v>1420</v>
      </c>
      <c r="D59">
        <v>1380</v>
      </c>
      <c r="E59">
        <v>1701</v>
      </c>
      <c r="F59">
        <v>1544</v>
      </c>
      <c r="G59">
        <v>1404</v>
      </c>
      <c r="H59">
        <v>1151</v>
      </c>
      <c r="I59">
        <v>319</v>
      </c>
      <c r="J59">
        <v>234</v>
      </c>
    </row>
    <row r="60" spans="2:15" x14ac:dyDescent="0.25">
      <c r="B60">
        <v>2743</v>
      </c>
      <c r="C60">
        <v>1411</v>
      </c>
      <c r="D60">
        <v>1392</v>
      </c>
      <c r="E60">
        <v>1684</v>
      </c>
      <c r="F60">
        <v>1451</v>
      </c>
      <c r="G60">
        <v>1436</v>
      </c>
      <c r="H60">
        <v>1155</v>
      </c>
      <c r="I60">
        <v>319</v>
      </c>
      <c r="J60">
        <v>219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workbookViewId="0"/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31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AVERAGE(Serialization[Newtonsoft (duration)]) - J38</f>
        <v>80.666666666666671</v>
      </c>
      <c r="D38" s="2">
        <f>AVERAGE(Serialization[.NET baked full (duration)]) - J38</f>
        <v>3</v>
      </c>
      <c r="E38" s="2">
        <f>AVERAGE(Serialization[.NET baked minimal (duration)]) - J38</f>
        <v>3.3333333333333335</v>
      </c>
      <c r="F38" s="2">
        <f>AVERAGE(Serialization[Jackson (duration)]) - J39</f>
        <v>36.333333333333336</v>
      </c>
      <c r="G38" s="2">
        <f>AVERAGE(Serialization[JVM baked full (duration)]) - J39</f>
        <v>0</v>
      </c>
      <c r="H38" s="2">
        <f>AVERAGE(Serialization[JVM baked minimal (duration)]) - J39</f>
        <v>0</v>
      </c>
      <c r="I38" s="2">
        <f>AVERAGE(Serialization[Protobuf.NET (duration)]) - J38</f>
        <v>40</v>
      </c>
      <c r="J38" s="2">
        <f>AVERAGE(Both[.NET (instance only)])</f>
        <v>0</v>
      </c>
      <c r="K38" s="2">
        <f>AVERAGE(Both[JVM (instance only)])</f>
        <v>0</v>
      </c>
    </row>
    <row r="39" spans="2:11" x14ac:dyDescent="0.25">
      <c r="B39" t="s">
        <v>3</v>
      </c>
      <c r="C39" s="2">
        <f>C40-C38</f>
        <v>29.333333333333329</v>
      </c>
      <c r="D39" s="2">
        <f t="shared" ref="D39:I39" si="0">D40-D38</f>
        <v>11</v>
      </c>
      <c r="E39" s="2">
        <f t="shared" si="0"/>
        <v>9.6666666666666661</v>
      </c>
      <c r="F39" s="2">
        <f t="shared" ref="F39:H39" si="1">F40-F38</f>
        <v>26</v>
      </c>
      <c r="G39" s="2">
        <f t="shared" si="1"/>
        <v>10.333333333333334</v>
      </c>
      <c r="H39" s="2">
        <f t="shared" si="1"/>
        <v>0</v>
      </c>
      <c r="I39" s="2">
        <f t="shared" si="0"/>
        <v>4</v>
      </c>
      <c r="J39" s="2"/>
      <c r="K39" s="2"/>
    </row>
    <row r="40" spans="2:11" x14ac:dyDescent="0.25">
      <c r="B40" t="s">
        <v>1</v>
      </c>
      <c r="C40" s="2">
        <f>AVERAGE(Both[Newtonsoft (duration)]) - J38</f>
        <v>110</v>
      </c>
      <c r="D40" s="2">
        <f>AVERAGE(Both[.NET baked full (duration)]) - J38</f>
        <v>14</v>
      </c>
      <c r="E40" s="2">
        <f>AVERAGE(Both[.NET baked minimal (duration)]) - J38</f>
        <v>13</v>
      </c>
      <c r="F40" s="2">
        <f>AVERAGE(Both[Jackson (duration)]) - J39</f>
        <v>62.333333333333336</v>
      </c>
      <c r="G40" s="2">
        <f>AVERAGE(Both[JVM baked full (duration)]) - J39</f>
        <v>10.333333333333334</v>
      </c>
      <c r="H40" s="2">
        <f>AVERAGE(Both[JVM baked minimal (duration)]) - J39</f>
        <v>0</v>
      </c>
      <c r="I40" s="2">
        <f>AVERAGE(Both[Protobuf.NET (duration)]) - J38</f>
        <v>44</v>
      </c>
      <c r="J40" s="2"/>
      <c r="K40" s="2"/>
    </row>
    <row r="41" spans="2:11" x14ac:dyDescent="0.25">
      <c r="B41" t="s">
        <v>8</v>
      </c>
      <c r="C41" s="3">
        <f>AVERAGE(Serialization[Newtonsoft (size)])</f>
        <v>28</v>
      </c>
      <c r="D41" s="3">
        <f>AVERAGE(Serialization[.NET baked full (size)])</f>
        <v>40</v>
      </c>
      <c r="E41" s="3">
        <f>AVERAGE(Serialization[.NET baked minimal (size)])</f>
        <v>28</v>
      </c>
      <c r="F41" s="3">
        <f>AVERAGE(Serialization[Jackson (size)])</f>
        <v>40</v>
      </c>
      <c r="G41" s="3">
        <f>AVERAGE(Serialization[JVM baked full (size)])</f>
        <v>40</v>
      </c>
      <c r="H41" s="3">
        <f>AVERAGE(Serialization[JVM baked minimal (size)])</f>
        <v>28</v>
      </c>
      <c r="I41" s="3">
        <f>AVERAGE(Serialization[Protobuf.NET (size)])</f>
        <v>16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DEVSQ(Serialization[Newtonsoft (duration)])</f>
        <v>2.666666666666667</v>
      </c>
      <c r="D46" s="2">
        <f>DEVSQ(Serialization[.NET baked full (duration)])</f>
        <v>0</v>
      </c>
      <c r="E46" s="2">
        <f>DEVSQ(Serialization[.NET baked minimal (duration)])</f>
        <v>0.66666666666666674</v>
      </c>
      <c r="F46" s="2">
        <f>DEVSQ(Serialization[Jackson (duration)])</f>
        <v>170.66666666666669</v>
      </c>
      <c r="G46" s="2">
        <f>DEVSQ(Serialization[JVM baked full (duration)])</f>
        <v>0</v>
      </c>
      <c r="H46" s="2">
        <f>DEVSQ(Serialization[JVM baked minimal (duration)])</f>
        <v>0</v>
      </c>
      <c r="I46" s="2">
        <f>DEVSQ(Serialization[Protobuf.NET (duration)])</f>
        <v>0</v>
      </c>
    </row>
    <row r="47" spans="2:11" x14ac:dyDescent="0.25">
      <c r="B47" t="s">
        <v>1</v>
      </c>
      <c r="C47" s="2">
        <f>DEVSQ(Both[Newtonsoft (duration)])</f>
        <v>0</v>
      </c>
      <c r="D47" s="2">
        <f>DEVSQ(Both[.NET baked full (duration)])</f>
        <v>0</v>
      </c>
      <c r="E47" s="2">
        <f>DEVSQ(Both[.NET baked minimal (duration)])</f>
        <v>0</v>
      </c>
      <c r="F47" s="2">
        <f>DEVSQ(Both[Jackson (duration)])</f>
        <v>0.66666666666666674</v>
      </c>
      <c r="G47" s="2">
        <f>DEVSQ(Both[JVM baked full (duration)])</f>
        <v>160.66666666666666</v>
      </c>
      <c r="H47" s="2">
        <f>DEVSQ(Both[JVM baked minimal (duration)])</f>
        <v>0</v>
      </c>
      <c r="I47" s="2">
        <f>DEVSQ(Both[Protobuf.NET (duration)])</f>
        <v>0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82</v>
      </c>
      <c r="C52">
        <v>28</v>
      </c>
      <c r="D52">
        <v>3</v>
      </c>
      <c r="E52">
        <v>40</v>
      </c>
      <c r="F52">
        <v>4</v>
      </c>
      <c r="G52">
        <v>28</v>
      </c>
      <c r="H52">
        <v>31</v>
      </c>
      <c r="I52">
        <v>40</v>
      </c>
      <c r="J52">
        <v>0</v>
      </c>
      <c r="K52">
        <v>40</v>
      </c>
      <c r="L52">
        <v>0</v>
      </c>
      <c r="M52">
        <v>28</v>
      </c>
      <c r="N52">
        <v>40</v>
      </c>
      <c r="O52">
        <v>16</v>
      </c>
    </row>
    <row r="53" spans="2:15" x14ac:dyDescent="0.25">
      <c r="B53">
        <v>80</v>
      </c>
      <c r="C53">
        <v>28</v>
      </c>
      <c r="D53">
        <v>3</v>
      </c>
      <c r="E53">
        <v>40</v>
      </c>
      <c r="F53">
        <v>3</v>
      </c>
      <c r="G53">
        <v>28</v>
      </c>
      <c r="H53">
        <v>31</v>
      </c>
      <c r="I53">
        <v>40</v>
      </c>
      <c r="J53">
        <v>0</v>
      </c>
      <c r="K53">
        <v>40</v>
      </c>
      <c r="L53">
        <v>0</v>
      </c>
      <c r="M53">
        <v>28</v>
      </c>
      <c r="N53">
        <v>40</v>
      </c>
      <c r="O53">
        <v>16</v>
      </c>
    </row>
    <row r="54" spans="2:15" x14ac:dyDescent="0.25">
      <c r="B54">
        <v>80</v>
      </c>
      <c r="C54">
        <v>28</v>
      </c>
      <c r="D54">
        <v>3</v>
      </c>
      <c r="E54">
        <v>40</v>
      </c>
      <c r="F54">
        <v>3</v>
      </c>
      <c r="G54">
        <v>28</v>
      </c>
      <c r="H54">
        <v>47</v>
      </c>
      <c r="I54">
        <v>40</v>
      </c>
      <c r="J54">
        <v>0</v>
      </c>
      <c r="K54">
        <v>40</v>
      </c>
      <c r="L54">
        <v>0</v>
      </c>
      <c r="M54">
        <v>28</v>
      </c>
      <c r="N54">
        <v>40</v>
      </c>
      <c r="O54">
        <v>16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110</v>
      </c>
      <c r="C58">
        <v>14</v>
      </c>
      <c r="D58">
        <v>13</v>
      </c>
      <c r="E58">
        <v>62</v>
      </c>
      <c r="F58">
        <v>15</v>
      </c>
      <c r="G58">
        <v>0</v>
      </c>
      <c r="H58">
        <v>44</v>
      </c>
      <c r="I58">
        <v>0</v>
      </c>
      <c r="J58">
        <v>0</v>
      </c>
    </row>
    <row r="59" spans="2:15" x14ac:dyDescent="0.25">
      <c r="B59">
        <v>110</v>
      </c>
      <c r="C59">
        <v>14</v>
      </c>
      <c r="D59">
        <v>13</v>
      </c>
      <c r="E59">
        <v>63</v>
      </c>
      <c r="F59">
        <v>16</v>
      </c>
      <c r="G59">
        <v>0</v>
      </c>
      <c r="H59">
        <v>44</v>
      </c>
      <c r="I59">
        <v>0</v>
      </c>
      <c r="J59">
        <v>0</v>
      </c>
    </row>
    <row r="60" spans="2:15" x14ac:dyDescent="0.25">
      <c r="B60">
        <v>110</v>
      </c>
      <c r="C60">
        <v>14</v>
      </c>
      <c r="D60">
        <v>13</v>
      </c>
      <c r="E60">
        <v>62</v>
      </c>
      <c r="F60">
        <v>0</v>
      </c>
      <c r="G60">
        <v>0</v>
      </c>
      <c r="H60">
        <v>44</v>
      </c>
      <c r="I60">
        <v>0</v>
      </c>
      <c r="J60">
        <v>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49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AVERAGE(Table79[Newtonsoft (duration)]) - J38</f>
        <v>78101.333333333343</v>
      </c>
      <c r="D38" s="2">
        <f>AVERAGE(Table79[.NET baked full (duration)]) - J38</f>
        <v>53705.666666666664</v>
      </c>
      <c r="E38" s="2">
        <f>AVERAGE(Table79[.NET baked minimal (duration)]) - J38</f>
        <v>53957.666666666664</v>
      </c>
      <c r="F38" s="2">
        <f>AVERAGE(Table79[Jackson (duration)]) - J39</f>
        <v>36748.333333333336</v>
      </c>
      <c r="G38" s="2">
        <f>AVERAGE(Table79[JVM baked full (duration)]) - J39</f>
        <v>39083.333333333336</v>
      </c>
      <c r="H38" s="2">
        <f>AVERAGE(Table79[JVM baked minimal (duration)]) - J39</f>
        <v>38043</v>
      </c>
      <c r="I38" s="2">
        <f>AVERAGE(Table79[Protobuf.NET (duration)]) - J38</f>
        <v>26471.666666666664</v>
      </c>
      <c r="J38" s="2">
        <f>AVERAGE(Table80[.NET (instance only)])</f>
        <v>46715.333333333336</v>
      </c>
      <c r="K38" s="2">
        <f>AVERAGE(Table80[JVM (instance only)])</f>
        <v>6593.333333333333</v>
      </c>
    </row>
    <row r="39" spans="2:11" x14ac:dyDescent="0.25">
      <c r="B39" t="s">
        <v>3</v>
      </c>
      <c r="C39" s="2">
        <f>C40-C38</f>
        <v>146922.66666666663</v>
      </c>
      <c r="D39" s="2">
        <f t="shared" ref="D39:I39" si="0">D40-D38</f>
        <v>90370</v>
      </c>
      <c r="E39" s="2">
        <f t="shared" si="0"/>
        <v>89222.333333333343</v>
      </c>
      <c r="F39" s="2">
        <f t="shared" ref="F39:H39" si="1">F40-F38</f>
        <v>61432.999999999993</v>
      </c>
      <c r="G39" s="2">
        <f t="shared" si="1"/>
        <v>58598.333333333336</v>
      </c>
      <c r="H39" s="2">
        <f t="shared" si="1"/>
        <v>58911.333333333328</v>
      </c>
      <c r="I39" s="2">
        <f t="shared" si="0"/>
        <v>74276</v>
      </c>
      <c r="J39" s="2"/>
      <c r="K39" s="2"/>
    </row>
    <row r="40" spans="2:11" x14ac:dyDescent="0.25">
      <c r="B40" t="s">
        <v>1</v>
      </c>
      <c r="C40" s="2">
        <f>AVERAGE(Table80[Newtonsoft (duration)]) - J38</f>
        <v>225023.99999999997</v>
      </c>
      <c r="D40" s="2">
        <f>AVERAGE(Table80[.NET baked full (duration)]) - J38</f>
        <v>144075.66666666666</v>
      </c>
      <c r="E40" s="2">
        <f>AVERAGE(Table80[.NET baked minimal (duration)]) - J38</f>
        <v>143180</v>
      </c>
      <c r="F40" s="2">
        <f>AVERAGE(Table80[Jackson (duration)]) - J39</f>
        <v>98181.333333333328</v>
      </c>
      <c r="G40" s="2">
        <f>AVERAGE(Table80[JVM baked full (duration)]) - J39</f>
        <v>97681.666666666672</v>
      </c>
      <c r="H40" s="2">
        <f>AVERAGE(Table80[JVM baked minimal (duration)]) - J39</f>
        <v>96954.333333333328</v>
      </c>
      <c r="I40" s="2">
        <f>AVERAGE(Table80[Protobuf.NET (duration)]) - J38</f>
        <v>100747.66666666666</v>
      </c>
      <c r="J40" s="2"/>
      <c r="K40" s="2"/>
    </row>
    <row r="41" spans="2:11" x14ac:dyDescent="0.25">
      <c r="B41" t="s">
        <v>8</v>
      </c>
      <c r="C41" s="3">
        <f>AVERAGE(Table79[Newtonsoft (size)])</f>
        <v>9844168140</v>
      </c>
      <c r="D41" s="3">
        <f>AVERAGE(Table79[.NET baked full (size)])</f>
        <v>9798781115</v>
      </c>
      <c r="E41" s="3">
        <f>AVERAGE(Table79[.NET baked minimal (size)])</f>
        <v>9494799823</v>
      </c>
      <c r="F41" s="3">
        <f>AVERAGE(Table79[Jackson (size)])</f>
        <v>9536735418</v>
      </c>
      <c r="G41" s="3">
        <f>AVERAGE(Table79[JVM baked full (size)])</f>
        <v>9823666695</v>
      </c>
      <c r="H41" s="3">
        <f>AVERAGE(Table79[JVM baked minimal (size)])</f>
        <v>9531222623</v>
      </c>
      <c r="I41" s="3">
        <f>AVERAGE(Table79[Protobuf.NET (size)])</f>
        <v>7495178217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DEVSQ(Table79[Newtonsoft (duration)])</f>
        <v>320298.66666666663</v>
      </c>
      <c r="D46" s="2">
        <f>DEVSQ(Table79[.NET baked full (duration)])</f>
        <v>85176</v>
      </c>
      <c r="E46" s="2">
        <f>DEVSQ(Table79[.NET baked minimal (duration)])</f>
        <v>1998818</v>
      </c>
      <c r="F46" s="2">
        <f>DEVSQ(Table79[Jackson (duration)])</f>
        <v>522348.66666666669</v>
      </c>
      <c r="G46" s="2">
        <f>DEVSQ(Table79[JVM baked full (duration)])</f>
        <v>184874.66666666666</v>
      </c>
      <c r="H46" s="2">
        <f>DEVSQ(Table79[JVM baked minimal (duration)])</f>
        <v>267378</v>
      </c>
      <c r="I46" s="2">
        <f>DEVSQ(Table79[Protobuf.NET (duration)])</f>
        <v>1094</v>
      </c>
    </row>
    <row r="47" spans="2:11" x14ac:dyDescent="0.25">
      <c r="B47" t="s">
        <v>1</v>
      </c>
      <c r="C47" s="2">
        <f>DEVSQ(Table80[Newtonsoft (duration)])</f>
        <v>7508800.666666666</v>
      </c>
      <c r="D47" s="2">
        <f>DEVSQ(Table80[.NET baked full (duration)])</f>
        <v>147266</v>
      </c>
      <c r="E47" s="2">
        <f>DEVSQ(Table80[.NET baked minimal (duration)])</f>
        <v>3154188.6666666665</v>
      </c>
      <c r="F47" s="2">
        <f>DEVSQ(Table80[Jackson (duration)])</f>
        <v>1715180.6666666665</v>
      </c>
      <c r="G47" s="2">
        <f>DEVSQ(Table80[JVM baked full (duration)])</f>
        <v>2178760.6666666665</v>
      </c>
      <c r="H47" s="2">
        <f>DEVSQ(Table80[JVM baked minimal (duration)])</f>
        <v>309560.66666666663</v>
      </c>
      <c r="I47" s="2">
        <f>DEVSQ(Table80[Protobuf.NET (duration)])</f>
        <v>36902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124454</v>
      </c>
      <c r="C52">
        <v>9844168140</v>
      </c>
      <c r="D52">
        <v>100247</v>
      </c>
      <c r="E52">
        <v>9798781115</v>
      </c>
      <c r="F52">
        <v>101760</v>
      </c>
      <c r="G52">
        <v>9511838823</v>
      </c>
      <c r="H52">
        <v>37159</v>
      </c>
      <c r="I52">
        <v>9536735418</v>
      </c>
      <c r="J52">
        <v>38782</v>
      </c>
      <c r="K52">
        <v>9823666695</v>
      </c>
      <c r="L52">
        <v>38126</v>
      </c>
      <c r="M52">
        <v>9531222623</v>
      </c>
      <c r="N52">
        <v>73160</v>
      </c>
      <c r="O52">
        <v>7495178217</v>
      </c>
    </row>
    <row r="53" spans="2:15" x14ac:dyDescent="0.25">
      <c r="B53">
        <v>124750</v>
      </c>
      <c r="C53">
        <v>9844168140</v>
      </c>
      <c r="D53">
        <v>100649</v>
      </c>
      <c r="E53">
        <v>9798781115</v>
      </c>
      <c r="F53">
        <v>100466</v>
      </c>
      <c r="G53">
        <v>9511838823</v>
      </c>
      <c r="H53">
        <v>36910</v>
      </c>
      <c r="I53">
        <v>9536735418</v>
      </c>
      <c r="J53">
        <v>39390</v>
      </c>
      <c r="K53">
        <v>9823666695</v>
      </c>
      <c r="L53">
        <v>38360</v>
      </c>
      <c r="M53">
        <v>9531222623</v>
      </c>
      <c r="N53">
        <v>73201</v>
      </c>
      <c r="O53">
        <v>7495178217</v>
      </c>
    </row>
    <row r="54" spans="2:15" x14ac:dyDescent="0.25">
      <c r="B54">
        <v>125246</v>
      </c>
      <c r="C54">
        <v>9844168140</v>
      </c>
      <c r="D54">
        <v>100367</v>
      </c>
      <c r="E54">
        <v>9798781115</v>
      </c>
      <c r="F54">
        <v>99793</v>
      </c>
      <c r="G54">
        <v>9460721823</v>
      </c>
      <c r="H54">
        <v>36176</v>
      </c>
      <c r="I54">
        <v>9536735418</v>
      </c>
      <c r="J54">
        <v>39078</v>
      </c>
      <c r="K54">
        <v>9823666695</v>
      </c>
      <c r="L54">
        <v>37643</v>
      </c>
      <c r="M54">
        <v>9531222623</v>
      </c>
      <c r="N54">
        <v>73200</v>
      </c>
      <c r="O54">
        <v>7495178217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270115</v>
      </c>
      <c r="C58">
        <v>191028</v>
      </c>
      <c r="D58">
        <v>189047</v>
      </c>
      <c r="E58">
        <v>97360</v>
      </c>
      <c r="F58">
        <v>96782</v>
      </c>
      <c r="G58">
        <v>97063</v>
      </c>
      <c r="H58">
        <v>147593</v>
      </c>
      <c r="I58">
        <v>46580</v>
      </c>
      <c r="J58">
        <v>6614</v>
      </c>
    </row>
    <row r="59" spans="2:15" x14ac:dyDescent="0.25">
      <c r="B59">
        <v>271219</v>
      </c>
      <c r="C59">
        <v>190495</v>
      </c>
      <c r="D59">
        <v>191338</v>
      </c>
      <c r="E59">
        <v>99185</v>
      </c>
      <c r="F59">
        <v>97437</v>
      </c>
      <c r="G59">
        <v>97282</v>
      </c>
      <c r="H59">
        <v>147322</v>
      </c>
      <c r="I59">
        <v>46801</v>
      </c>
      <c r="J59">
        <v>6583</v>
      </c>
    </row>
    <row r="60" spans="2:15" x14ac:dyDescent="0.25">
      <c r="B60">
        <v>273884</v>
      </c>
      <c r="C60">
        <v>190850</v>
      </c>
      <c r="D60">
        <v>189301</v>
      </c>
      <c r="E60">
        <v>97999</v>
      </c>
      <c r="F60">
        <v>98826</v>
      </c>
      <c r="G60">
        <v>96518</v>
      </c>
      <c r="H60">
        <v>147474</v>
      </c>
      <c r="I60">
        <v>46765</v>
      </c>
      <c r="J60">
        <v>6583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L55" sqref="L55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32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AVERAGE(Table11[Newtonsoft (duration)]) - J38</f>
        <v>94</v>
      </c>
      <c r="D38" s="2">
        <f>AVERAGE(Table11[.NET baked full (duration)]) - J38</f>
        <v>9</v>
      </c>
      <c r="E38" s="2">
        <f>AVERAGE(Table11[.NET baked minimal (duration)]) - J38</f>
        <v>9</v>
      </c>
      <c r="F38" s="2">
        <f>AVERAGE(Table11[Jackson (duration)]) - J39</f>
        <v>62.333333333333336</v>
      </c>
      <c r="G38" s="2">
        <f>AVERAGE(Table11[JVM baked full (duration)]) - J39</f>
        <v>0</v>
      </c>
      <c r="H38" s="2">
        <f>AVERAGE(Table11[JVM baked minimal (duration)]) - J39</f>
        <v>15.333333333333334</v>
      </c>
      <c r="I38" s="2">
        <f>AVERAGE(Table11[Protobuf.NET (duration)]) - J38</f>
        <v>62</v>
      </c>
      <c r="J38" s="2">
        <f>AVERAGE(Table12[.NET (instance only)])</f>
        <v>1</v>
      </c>
      <c r="K38" s="2">
        <f>AVERAGE(Table12[JVM (instance only)])</f>
        <v>0</v>
      </c>
    </row>
    <row r="39" spans="2:11" x14ac:dyDescent="0.25">
      <c r="B39" t="s">
        <v>3</v>
      </c>
      <c r="C39" s="2">
        <f>C40-C38</f>
        <v>43.666666666666657</v>
      </c>
      <c r="D39" s="2">
        <f t="shared" ref="D39:I39" si="0">D40-D38</f>
        <v>15.333333333333332</v>
      </c>
      <c r="E39" s="2">
        <f t="shared" si="0"/>
        <v>15.333333333333332</v>
      </c>
      <c r="F39" s="2">
        <f t="shared" ref="F39:H39" si="1">F40-F38</f>
        <v>62.333333333333336</v>
      </c>
      <c r="G39" s="2">
        <f t="shared" si="1"/>
        <v>0</v>
      </c>
      <c r="H39" s="2">
        <f t="shared" si="1"/>
        <v>0.33333333333333215</v>
      </c>
      <c r="I39" s="2">
        <f t="shared" si="0"/>
        <v>7</v>
      </c>
      <c r="J39" s="2"/>
      <c r="K39" s="2"/>
    </row>
    <row r="40" spans="2:11" x14ac:dyDescent="0.25">
      <c r="B40" t="s">
        <v>1</v>
      </c>
      <c r="C40" s="2">
        <f>AVERAGE(Table12[Newtonsoft (duration)]) - J38</f>
        <v>137.66666666666666</v>
      </c>
      <c r="D40" s="2">
        <f>AVERAGE(Table12[.NET baked full (duration)]) - J38</f>
        <v>24.333333333333332</v>
      </c>
      <c r="E40" s="2">
        <f>AVERAGE(Table12[.NET baked minimal (duration)]) - J38</f>
        <v>24.333333333333332</v>
      </c>
      <c r="F40" s="2">
        <f>AVERAGE(Table12[Jackson (duration)]) - J39</f>
        <v>124.66666666666667</v>
      </c>
      <c r="G40" s="2">
        <f>AVERAGE(Table12[JVM baked full (duration)]) - J39</f>
        <v>0</v>
      </c>
      <c r="H40" s="2">
        <f>AVERAGE(Table12[JVM baked minimal (duration)]) - J39</f>
        <v>15.666666666666666</v>
      </c>
      <c r="I40" s="2">
        <f>AVERAGE(Table12[Protobuf.NET (duration)]) - J38</f>
        <v>69</v>
      </c>
      <c r="J40" s="2"/>
      <c r="K40" s="2"/>
    </row>
    <row r="41" spans="2:11" x14ac:dyDescent="0.25">
      <c r="B41" t="s">
        <v>8</v>
      </c>
      <c r="C41" s="3">
        <f>AVERAGE(Table11[Newtonsoft (size)])</f>
        <v>110</v>
      </c>
      <c r="D41" s="3">
        <f>AVERAGE(Table11[.NET baked full (size)])</f>
        <v>140</v>
      </c>
      <c r="E41" s="3">
        <f>AVERAGE(Table11[.NET baked minimal (size)])</f>
        <v>74</v>
      </c>
      <c r="F41" s="3">
        <f>AVERAGE(Table11[Jackson (size)])</f>
        <v>74</v>
      </c>
      <c r="G41" s="3">
        <f>AVERAGE(Table11[JVM baked full (size)])</f>
        <v>141</v>
      </c>
      <c r="H41" s="3">
        <f>AVERAGE(Table11[JVM baked minimal (size)])</f>
        <v>54</v>
      </c>
      <c r="I41" s="3">
        <f>AVERAGE(Table11[Protobuf.NET (size)])</f>
        <v>37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DEVSQ(Table11[Newtonsoft (duration)])</f>
        <v>0</v>
      </c>
      <c r="D46" s="2">
        <f>DEVSQ(Table11[.NET baked full (duration)])</f>
        <v>0</v>
      </c>
      <c r="E46" s="2">
        <f>DEVSQ(Table11[.NET baked minimal (duration)])</f>
        <v>0</v>
      </c>
      <c r="F46" s="2">
        <f>DEVSQ(Table11[Jackson (duration)])</f>
        <v>0.66666666666666674</v>
      </c>
      <c r="G46" s="2">
        <f>DEVSQ(Table11[JVM baked full (duration)])</f>
        <v>0</v>
      </c>
      <c r="H46" s="2">
        <f>DEVSQ(Table11[JVM baked minimal (duration)])</f>
        <v>2.666666666666667</v>
      </c>
      <c r="I46" s="2">
        <f>DEVSQ(Table11[Protobuf.NET (duration)])</f>
        <v>0</v>
      </c>
    </row>
    <row r="47" spans="2:11" x14ac:dyDescent="0.25">
      <c r="B47" t="s">
        <v>1</v>
      </c>
      <c r="C47" s="2">
        <f>DEVSQ(Table12[Newtonsoft (duration)])</f>
        <v>2.6666666666666665</v>
      </c>
      <c r="D47" s="2">
        <f>DEVSQ(Table12[.NET baked full (duration)])</f>
        <v>0.66666666666666674</v>
      </c>
      <c r="E47" s="2">
        <f>DEVSQ(Table12[.NET baked minimal (duration)])</f>
        <v>0.66666666666666674</v>
      </c>
      <c r="F47" s="2">
        <f>DEVSQ(Table12[Jackson (duration)])</f>
        <v>0.66666666666666663</v>
      </c>
      <c r="G47" s="2">
        <f>DEVSQ(Table12[JVM baked full (duration)])</f>
        <v>0</v>
      </c>
      <c r="H47" s="2">
        <f>DEVSQ(Table12[JVM baked minimal (duration)])</f>
        <v>0.66666666666666663</v>
      </c>
      <c r="I47" s="2">
        <f>DEVSQ(Table12[Protobuf.NET (duration)])</f>
        <v>0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95</v>
      </c>
      <c r="C52">
        <v>110</v>
      </c>
      <c r="D52">
        <v>10</v>
      </c>
      <c r="E52">
        <v>140</v>
      </c>
      <c r="F52">
        <v>10</v>
      </c>
      <c r="G52">
        <v>74</v>
      </c>
      <c r="H52">
        <v>62</v>
      </c>
      <c r="I52">
        <v>74</v>
      </c>
      <c r="J52">
        <v>0</v>
      </c>
      <c r="K52">
        <v>141</v>
      </c>
      <c r="L52">
        <v>16</v>
      </c>
      <c r="M52">
        <v>54</v>
      </c>
      <c r="N52">
        <v>63</v>
      </c>
      <c r="O52">
        <v>37</v>
      </c>
    </row>
    <row r="53" spans="2:15" x14ac:dyDescent="0.25">
      <c r="B53">
        <v>95</v>
      </c>
      <c r="C53">
        <v>110</v>
      </c>
      <c r="D53">
        <v>10</v>
      </c>
      <c r="E53">
        <v>140</v>
      </c>
      <c r="F53">
        <v>10</v>
      </c>
      <c r="G53">
        <v>74</v>
      </c>
      <c r="H53">
        <v>62</v>
      </c>
      <c r="I53">
        <v>74</v>
      </c>
      <c r="J53">
        <v>0</v>
      </c>
      <c r="K53">
        <v>141</v>
      </c>
      <c r="L53">
        <v>16</v>
      </c>
      <c r="M53">
        <v>54</v>
      </c>
      <c r="N53">
        <v>63</v>
      </c>
      <c r="O53">
        <v>37</v>
      </c>
    </row>
    <row r="54" spans="2:15" x14ac:dyDescent="0.25">
      <c r="B54">
        <v>95</v>
      </c>
      <c r="C54">
        <v>110</v>
      </c>
      <c r="D54">
        <v>10</v>
      </c>
      <c r="E54">
        <v>140</v>
      </c>
      <c r="F54">
        <v>10</v>
      </c>
      <c r="G54">
        <v>74</v>
      </c>
      <c r="H54">
        <v>63</v>
      </c>
      <c r="I54">
        <v>74</v>
      </c>
      <c r="J54">
        <v>0</v>
      </c>
      <c r="K54">
        <v>141</v>
      </c>
      <c r="L54">
        <v>14</v>
      </c>
      <c r="M54">
        <v>54</v>
      </c>
      <c r="N54">
        <v>63</v>
      </c>
      <c r="O54">
        <v>37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140</v>
      </c>
      <c r="C58">
        <v>26</v>
      </c>
      <c r="D58">
        <v>25</v>
      </c>
      <c r="E58">
        <v>125</v>
      </c>
      <c r="F58">
        <v>0</v>
      </c>
      <c r="G58">
        <v>16</v>
      </c>
      <c r="H58">
        <v>70</v>
      </c>
      <c r="I58">
        <v>1</v>
      </c>
      <c r="J58">
        <v>0</v>
      </c>
    </row>
    <row r="59" spans="2:15" x14ac:dyDescent="0.25">
      <c r="B59">
        <v>138</v>
      </c>
      <c r="C59">
        <v>25</v>
      </c>
      <c r="D59">
        <v>26</v>
      </c>
      <c r="E59">
        <v>124</v>
      </c>
      <c r="F59">
        <v>0</v>
      </c>
      <c r="G59">
        <v>16</v>
      </c>
      <c r="H59">
        <v>70</v>
      </c>
      <c r="I59">
        <v>1</v>
      </c>
      <c r="J59">
        <v>0</v>
      </c>
    </row>
    <row r="60" spans="2:15" x14ac:dyDescent="0.25">
      <c r="B60">
        <v>138</v>
      </c>
      <c r="C60">
        <v>25</v>
      </c>
      <c r="D60">
        <v>25</v>
      </c>
      <c r="E60">
        <v>125</v>
      </c>
      <c r="F60">
        <v>0</v>
      </c>
      <c r="G60">
        <v>15</v>
      </c>
      <c r="H60">
        <v>70</v>
      </c>
      <c r="I60">
        <v>1</v>
      </c>
      <c r="J60">
        <v>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33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AVERAGE(Table15[Newtonsoft (duration)]) - J38</f>
        <v>165.66666666666666</v>
      </c>
      <c r="D38" s="2">
        <f>AVERAGE(Table15[.NET baked full (duration)]) - J38</f>
        <v>46.333333333333336</v>
      </c>
      <c r="E38" s="2">
        <f>AVERAGE(Table15[.NET baked minimal (duration)]) - J38</f>
        <v>45</v>
      </c>
      <c r="F38" s="2">
        <f>AVERAGE(Table15[Jackson (duration)]) - J39</f>
        <v>166.66666666666666</v>
      </c>
      <c r="G38" s="2">
        <f>AVERAGE(Table15[JVM baked full (duration)]) - J39</f>
        <v>83</v>
      </c>
      <c r="H38" s="2">
        <f>AVERAGE(Table15[JVM baked minimal (duration)]) - J39</f>
        <v>83.333333333333329</v>
      </c>
      <c r="I38" s="2">
        <f>AVERAGE(Table15[Protobuf.NET (duration)]) - J38</f>
        <v>73.666666666666671</v>
      </c>
      <c r="J38" s="2">
        <f>AVERAGE(Table16[.NET (instance only)])</f>
        <v>15</v>
      </c>
      <c r="K38" s="2">
        <f>AVERAGE(Table16[JVM (instance only)])</f>
        <v>21</v>
      </c>
    </row>
    <row r="39" spans="2:11" x14ac:dyDescent="0.25">
      <c r="B39" t="s">
        <v>3</v>
      </c>
      <c r="C39" s="2">
        <f>C40-C38</f>
        <v>244.33333333333334</v>
      </c>
      <c r="D39" s="2">
        <f t="shared" ref="D39:I39" si="0">D40-D38</f>
        <v>68.333333333333314</v>
      </c>
      <c r="E39" s="2">
        <f t="shared" si="0"/>
        <v>64</v>
      </c>
      <c r="F39" s="2">
        <f t="shared" ref="F39:H39" si="1">F40-F38</f>
        <v>181.33333333333334</v>
      </c>
      <c r="G39" s="2">
        <f t="shared" si="1"/>
        <v>47.333333333333343</v>
      </c>
      <c r="H39" s="2">
        <f t="shared" si="1"/>
        <v>41.666666666666671</v>
      </c>
      <c r="I39" s="2">
        <f t="shared" si="0"/>
        <v>68.999999999999986</v>
      </c>
      <c r="J39" s="2"/>
      <c r="K39" s="2"/>
    </row>
    <row r="40" spans="2:11" x14ac:dyDescent="0.25">
      <c r="B40" t="s">
        <v>1</v>
      </c>
      <c r="C40" s="2">
        <f>AVERAGE(Table16[Newtonsoft (duration)]) - J38</f>
        <v>410</v>
      </c>
      <c r="D40" s="2">
        <f>AVERAGE(Table16[.NET baked full (duration)]) - J38</f>
        <v>114.66666666666666</v>
      </c>
      <c r="E40" s="2">
        <f>AVERAGE(Table16[.NET baked minimal (duration)]) - J38</f>
        <v>109</v>
      </c>
      <c r="F40" s="2">
        <f>AVERAGE(Table16[Jackson (duration)]) - J39</f>
        <v>348</v>
      </c>
      <c r="G40" s="2">
        <f>AVERAGE(Table16[JVM baked full (duration)]) - J39</f>
        <v>130.33333333333334</v>
      </c>
      <c r="H40" s="2">
        <f>AVERAGE(Table16[JVM baked minimal (duration)]) - J39</f>
        <v>125</v>
      </c>
      <c r="I40" s="2">
        <f>AVERAGE(Table16[Protobuf.NET (duration)]) - J38</f>
        <v>142.66666666666666</v>
      </c>
      <c r="J40" s="2"/>
      <c r="K40" s="2"/>
    </row>
    <row r="41" spans="2:11" x14ac:dyDescent="0.25">
      <c r="B41" t="s">
        <v>8</v>
      </c>
      <c r="C41" s="3">
        <f>AVERAGE(Table15[Newtonsoft (size)])</f>
        <v>4777768</v>
      </c>
      <c r="D41" s="3">
        <f>AVERAGE(Table15[.NET baked full (size)])</f>
        <v>4777780</v>
      </c>
      <c r="E41" s="3">
        <f>AVERAGE(Table15[.NET baked minimal (size)])</f>
        <v>4777768</v>
      </c>
      <c r="F41" s="3">
        <f>AVERAGE(Table15[Jackson (size)])</f>
        <v>4777780</v>
      </c>
      <c r="G41" s="3">
        <f>AVERAGE(Table15[JVM baked full (size)])</f>
        <v>4777780</v>
      </c>
      <c r="H41" s="3">
        <f>AVERAGE(Table15[JVM baked minimal (size)])</f>
        <v>4777768</v>
      </c>
      <c r="I41" s="3">
        <f>AVERAGE(Table15[Protobuf.NET (size)])</f>
        <v>2372376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DEVSQ(Table15[Newtonsoft (duration)])</f>
        <v>0.66666666666666674</v>
      </c>
      <c r="D46" s="2">
        <f>DEVSQ(Table15[.NET baked full (duration)])</f>
        <v>4.6666666666666661</v>
      </c>
      <c r="E46" s="2">
        <f>DEVSQ(Table15[.NET baked minimal (duration)])</f>
        <v>0</v>
      </c>
      <c r="F46" s="2">
        <f>DEVSQ(Table15[Jackson (duration)])</f>
        <v>170.66666666666666</v>
      </c>
      <c r="G46" s="2">
        <f>DEVSQ(Table15[JVM baked full (duration)])</f>
        <v>150</v>
      </c>
      <c r="H46" s="2">
        <f>DEVSQ(Table15[JVM baked minimal (duration)])</f>
        <v>170.66666666666669</v>
      </c>
      <c r="I46" s="2">
        <f>DEVSQ(Table15[Protobuf.NET (duration)])</f>
        <v>2.666666666666667</v>
      </c>
    </row>
    <row r="47" spans="2:11" x14ac:dyDescent="0.25">
      <c r="B47" t="s">
        <v>1</v>
      </c>
      <c r="C47" s="2">
        <f>DEVSQ(Table16[Newtonsoft (duration)])</f>
        <v>182</v>
      </c>
      <c r="D47" s="2">
        <f>DEVSQ(Table16[.NET baked full (duration)])</f>
        <v>160.66666666666666</v>
      </c>
      <c r="E47" s="2">
        <f>DEVSQ(Table16[.NET baked minimal (duration)])</f>
        <v>0</v>
      </c>
      <c r="F47" s="2">
        <f>DEVSQ(Table16[Jackson (duration)])</f>
        <v>150</v>
      </c>
      <c r="G47" s="2">
        <f>DEVSQ(Table16[JVM baked full (duration)])</f>
        <v>170.66666666666666</v>
      </c>
      <c r="H47" s="2">
        <f>DEVSQ(Table16[JVM baked minimal (duration)])</f>
        <v>0</v>
      </c>
      <c r="I47" s="2">
        <f>DEVSQ(Table16[Protobuf.NET (duration)])</f>
        <v>352.66666666666663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180</v>
      </c>
      <c r="C52">
        <v>4777768</v>
      </c>
      <c r="D52">
        <v>63</v>
      </c>
      <c r="E52">
        <v>4777780</v>
      </c>
      <c r="F52">
        <v>60</v>
      </c>
      <c r="G52">
        <v>4777768</v>
      </c>
      <c r="H52">
        <v>172</v>
      </c>
      <c r="I52">
        <v>4777780</v>
      </c>
      <c r="J52">
        <v>93</v>
      </c>
      <c r="K52">
        <v>4777780</v>
      </c>
      <c r="L52">
        <v>78</v>
      </c>
      <c r="M52">
        <v>4777768</v>
      </c>
      <c r="N52">
        <v>90</v>
      </c>
      <c r="O52">
        <v>2372376</v>
      </c>
    </row>
    <row r="53" spans="2:15" x14ac:dyDescent="0.25">
      <c r="B53">
        <v>181</v>
      </c>
      <c r="C53">
        <v>4777768</v>
      </c>
      <c r="D53">
        <v>61</v>
      </c>
      <c r="E53">
        <v>4777780</v>
      </c>
      <c r="F53">
        <v>60</v>
      </c>
      <c r="G53">
        <v>4777768</v>
      </c>
      <c r="H53">
        <v>156</v>
      </c>
      <c r="I53">
        <v>4777780</v>
      </c>
      <c r="J53">
        <v>78</v>
      </c>
      <c r="K53">
        <v>4777780</v>
      </c>
      <c r="L53">
        <v>78</v>
      </c>
      <c r="M53">
        <v>4777768</v>
      </c>
      <c r="N53">
        <v>88</v>
      </c>
      <c r="O53">
        <v>2372376</v>
      </c>
    </row>
    <row r="54" spans="2:15" x14ac:dyDescent="0.25">
      <c r="B54">
        <v>181</v>
      </c>
      <c r="C54">
        <v>4777768</v>
      </c>
      <c r="D54">
        <v>60</v>
      </c>
      <c r="E54">
        <v>4777780</v>
      </c>
      <c r="F54">
        <v>60</v>
      </c>
      <c r="G54">
        <v>4777768</v>
      </c>
      <c r="H54">
        <v>172</v>
      </c>
      <c r="I54">
        <v>4777780</v>
      </c>
      <c r="J54">
        <v>78</v>
      </c>
      <c r="K54">
        <v>4777780</v>
      </c>
      <c r="L54">
        <v>94</v>
      </c>
      <c r="M54">
        <v>4777768</v>
      </c>
      <c r="N54">
        <v>88</v>
      </c>
      <c r="O54">
        <v>2372376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419</v>
      </c>
      <c r="C58">
        <v>124</v>
      </c>
      <c r="D58">
        <v>124</v>
      </c>
      <c r="E58">
        <v>358</v>
      </c>
      <c r="F58">
        <v>141</v>
      </c>
      <c r="G58">
        <v>125</v>
      </c>
      <c r="H58">
        <v>173</v>
      </c>
      <c r="I58">
        <v>15</v>
      </c>
      <c r="J58">
        <v>16</v>
      </c>
    </row>
    <row r="59" spans="2:15" x14ac:dyDescent="0.25">
      <c r="B59">
        <v>436</v>
      </c>
      <c r="C59">
        <v>125</v>
      </c>
      <c r="D59">
        <v>124</v>
      </c>
      <c r="E59">
        <v>343</v>
      </c>
      <c r="F59">
        <v>125</v>
      </c>
      <c r="G59">
        <v>125</v>
      </c>
      <c r="H59">
        <v>150</v>
      </c>
      <c r="I59">
        <v>15</v>
      </c>
      <c r="J59">
        <v>16</v>
      </c>
    </row>
    <row r="60" spans="2:15" x14ac:dyDescent="0.25">
      <c r="B60">
        <v>420</v>
      </c>
      <c r="C60">
        <v>140</v>
      </c>
      <c r="D60">
        <v>124</v>
      </c>
      <c r="E60">
        <v>343</v>
      </c>
      <c r="F60">
        <v>125</v>
      </c>
      <c r="G60">
        <v>125</v>
      </c>
      <c r="H60">
        <v>150</v>
      </c>
      <c r="I60">
        <v>15</v>
      </c>
      <c r="J60">
        <v>31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34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AVERAGE(Table19[Newtonsoft (duration)]) - J38</f>
        <v>957.00000000000011</v>
      </c>
      <c r="D38" s="2">
        <f>AVERAGE(Table19[.NET baked full (duration)]) - J38</f>
        <v>427.66666666666674</v>
      </c>
      <c r="E38" s="2">
        <f>AVERAGE(Table19[.NET baked minimal (duration)]) - J38</f>
        <v>417</v>
      </c>
      <c r="F38" s="2">
        <f>AVERAGE(Table19[Jackson (duration)]) - J39</f>
        <v>483.66666666666669</v>
      </c>
      <c r="G38" s="2">
        <f>AVERAGE(Table19[JVM baked full (duration)]) - J39</f>
        <v>276</v>
      </c>
      <c r="H38" s="2">
        <f>AVERAGE(Table19[JVM baked minimal (duration)]) - J39</f>
        <v>281</v>
      </c>
      <c r="I38" s="2">
        <f>AVERAGE(Table19[Protobuf.NET (duration)]) - J38</f>
        <v>409</v>
      </c>
      <c r="J38" s="2">
        <f>AVERAGE(Table20[.NET (instance only)])</f>
        <v>146.66666666666666</v>
      </c>
      <c r="K38" s="2">
        <f>AVERAGE(Table20[JVM (instance only)])</f>
        <v>72.666666666666671</v>
      </c>
    </row>
    <row r="39" spans="2:11" x14ac:dyDescent="0.25">
      <c r="B39" t="s">
        <v>3</v>
      </c>
      <c r="C39" s="2">
        <f>C40-C38</f>
        <v>2241.3333333333335</v>
      </c>
      <c r="D39" s="2">
        <f t="shared" ref="D39:I39" si="0">D40-D38</f>
        <v>558.33333333333337</v>
      </c>
      <c r="E39" s="2">
        <f t="shared" si="0"/>
        <v>561.00000000000011</v>
      </c>
      <c r="F39" s="2">
        <f t="shared" ref="F39:H39" si="1">F40-F38</f>
        <v>504.33333333333331</v>
      </c>
      <c r="G39" s="2">
        <f t="shared" si="1"/>
        <v>217.66666666666669</v>
      </c>
      <c r="H39" s="2">
        <f t="shared" si="1"/>
        <v>223</v>
      </c>
      <c r="I39" s="2">
        <f t="shared" si="0"/>
        <v>536.66666666666663</v>
      </c>
      <c r="J39" s="2"/>
      <c r="K39" s="2"/>
    </row>
    <row r="40" spans="2:11" x14ac:dyDescent="0.25">
      <c r="B40" t="s">
        <v>1</v>
      </c>
      <c r="C40" s="2">
        <f>AVERAGE(Table20[Newtonsoft (duration)]) - J38</f>
        <v>3198.3333333333335</v>
      </c>
      <c r="D40" s="2">
        <f>AVERAGE(Table20[.NET baked full (duration)]) - J38</f>
        <v>986.00000000000011</v>
      </c>
      <c r="E40" s="2">
        <f>AVERAGE(Table20[.NET baked minimal (duration)]) - J38</f>
        <v>978.00000000000011</v>
      </c>
      <c r="F40" s="2">
        <f>AVERAGE(Table20[Jackson (duration)]) - J39</f>
        <v>988</v>
      </c>
      <c r="G40" s="2">
        <f>AVERAGE(Table20[JVM baked full (duration)]) - J39</f>
        <v>493.66666666666669</v>
      </c>
      <c r="H40" s="2">
        <f>AVERAGE(Table20[JVM baked minimal (duration)]) - J39</f>
        <v>504</v>
      </c>
      <c r="I40" s="2">
        <f>AVERAGE(Table20[Protobuf.NET (duration)]) - J38</f>
        <v>945.66666666666663</v>
      </c>
      <c r="J40" s="2"/>
      <c r="K40" s="2"/>
    </row>
    <row r="41" spans="2:11" x14ac:dyDescent="0.25">
      <c r="B41" t="s">
        <v>8</v>
      </c>
      <c r="C41" s="3">
        <f>AVERAGE(Table19[Newtonsoft (size)])</f>
        <v>49777768</v>
      </c>
      <c r="D41" s="3">
        <f>AVERAGE(Table19[.NET baked full (size)])</f>
        <v>49777780</v>
      </c>
      <c r="E41" s="3">
        <f>AVERAGE(Table19[.NET baked minimal (size)])</f>
        <v>49777768</v>
      </c>
      <c r="F41" s="3">
        <f>AVERAGE(Table19[Jackson (size)])</f>
        <v>49777780</v>
      </c>
      <c r="G41" s="3">
        <f>AVERAGE(Table19[JVM baked full (size)])</f>
        <v>49777780</v>
      </c>
      <c r="H41" s="3">
        <f>AVERAGE(Table19[JVM baked minimal (size)])</f>
        <v>49777768</v>
      </c>
      <c r="I41" s="3">
        <f>AVERAGE(Table19[Protobuf.NET (size)])</f>
        <v>24872376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DEVSQ(Table19[Newtonsoft (duration)])</f>
        <v>752.66666666666674</v>
      </c>
      <c r="D46" s="2">
        <f>DEVSQ(Table19[.NET baked full (duration)])</f>
        <v>416.66666666666669</v>
      </c>
      <c r="E46" s="2">
        <f>DEVSQ(Table19[.NET baked minimal (duration)])</f>
        <v>8.6666666666666679</v>
      </c>
      <c r="F46" s="2">
        <f>DEVSQ(Table19[Jackson (duration)])</f>
        <v>1472.6666666666667</v>
      </c>
      <c r="G46" s="2">
        <f>DEVSQ(Table19[JVM baked full (duration)])</f>
        <v>662</v>
      </c>
      <c r="H46" s="2">
        <f>DEVSQ(Table19[JVM baked minimal (duration)])</f>
        <v>512</v>
      </c>
      <c r="I46" s="2">
        <f>DEVSQ(Table19[Protobuf.NET (duration)])</f>
        <v>10922.666666666668</v>
      </c>
    </row>
    <row r="47" spans="2:11" x14ac:dyDescent="0.25">
      <c r="B47" t="s">
        <v>1</v>
      </c>
      <c r="C47" s="2">
        <f>DEVSQ(Table20[Newtonsoft (duration)])</f>
        <v>19134</v>
      </c>
      <c r="D47" s="2">
        <f>DEVSQ(Table20[.NET baked full (duration)])</f>
        <v>400.66666666666674</v>
      </c>
      <c r="E47" s="2">
        <f>DEVSQ(Table20[.NET baked minimal (duration)])</f>
        <v>12.666666666666668</v>
      </c>
      <c r="F47" s="2">
        <f>DEVSQ(Table20[Jackson (duration)])</f>
        <v>150</v>
      </c>
      <c r="G47" s="2">
        <f>DEVSQ(Table20[JVM baked full (duration)])</f>
        <v>170.66666666666669</v>
      </c>
      <c r="H47" s="2">
        <f>DEVSQ(Table20[JVM baked minimal (duration)])</f>
        <v>150</v>
      </c>
      <c r="I47" s="2">
        <f>DEVSQ(Table20[Protobuf.NET (duration)])</f>
        <v>10.666666666666668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1091</v>
      </c>
      <c r="C52">
        <v>49777768</v>
      </c>
      <c r="D52">
        <v>566</v>
      </c>
      <c r="E52">
        <v>49777780</v>
      </c>
      <c r="F52">
        <v>566</v>
      </c>
      <c r="G52">
        <v>49777768</v>
      </c>
      <c r="H52">
        <v>468</v>
      </c>
      <c r="I52">
        <v>49777780</v>
      </c>
      <c r="J52">
        <v>266</v>
      </c>
      <c r="K52">
        <v>49777780</v>
      </c>
      <c r="L52">
        <v>265</v>
      </c>
      <c r="M52">
        <v>49777768</v>
      </c>
      <c r="N52">
        <v>513</v>
      </c>
      <c r="O52">
        <v>24872376</v>
      </c>
    </row>
    <row r="53" spans="2:15" x14ac:dyDescent="0.25">
      <c r="B53">
        <v>1094</v>
      </c>
      <c r="C53">
        <v>49777768</v>
      </c>
      <c r="D53">
        <v>591</v>
      </c>
      <c r="E53">
        <v>49777780</v>
      </c>
      <c r="F53">
        <v>563</v>
      </c>
      <c r="G53">
        <v>49777768</v>
      </c>
      <c r="H53">
        <v>515</v>
      </c>
      <c r="I53">
        <v>49777780</v>
      </c>
      <c r="J53">
        <v>265</v>
      </c>
      <c r="K53">
        <v>49777780</v>
      </c>
      <c r="L53">
        <v>297</v>
      </c>
      <c r="M53">
        <v>49777768</v>
      </c>
      <c r="N53">
        <v>641</v>
      </c>
      <c r="O53">
        <v>24872376</v>
      </c>
    </row>
    <row r="54" spans="2:15" x14ac:dyDescent="0.25">
      <c r="B54">
        <v>1126</v>
      </c>
      <c r="C54">
        <v>49777768</v>
      </c>
      <c r="D54">
        <v>566</v>
      </c>
      <c r="E54">
        <v>49777780</v>
      </c>
      <c r="F54">
        <v>562</v>
      </c>
      <c r="G54">
        <v>49777768</v>
      </c>
      <c r="H54">
        <v>468</v>
      </c>
      <c r="I54">
        <v>49777780</v>
      </c>
      <c r="J54">
        <v>297</v>
      </c>
      <c r="K54">
        <v>49777780</v>
      </c>
      <c r="L54">
        <v>281</v>
      </c>
      <c r="M54">
        <v>49777768</v>
      </c>
      <c r="N54">
        <v>513</v>
      </c>
      <c r="O54">
        <v>24872376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3447</v>
      </c>
      <c r="C58">
        <v>1149</v>
      </c>
      <c r="D58">
        <v>1125</v>
      </c>
      <c r="E58">
        <v>983</v>
      </c>
      <c r="F58">
        <v>499</v>
      </c>
      <c r="G58">
        <v>514</v>
      </c>
      <c r="H58">
        <v>1095</v>
      </c>
      <c r="I58">
        <v>146</v>
      </c>
      <c r="J58">
        <v>62</v>
      </c>
    </row>
    <row r="59" spans="2:15" x14ac:dyDescent="0.25">
      <c r="B59">
        <v>3252</v>
      </c>
      <c r="C59">
        <v>1124</v>
      </c>
      <c r="D59">
        <v>1127</v>
      </c>
      <c r="E59">
        <v>998</v>
      </c>
      <c r="F59">
        <v>499</v>
      </c>
      <c r="G59">
        <v>499</v>
      </c>
      <c r="H59">
        <v>1091</v>
      </c>
      <c r="I59">
        <v>146</v>
      </c>
      <c r="J59">
        <v>78</v>
      </c>
    </row>
    <row r="60" spans="2:15" x14ac:dyDescent="0.25">
      <c r="B60">
        <v>3336</v>
      </c>
      <c r="C60">
        <v>1125</v>
      </c>
      <c r="D60">
        <v>1122</v>
      </c>
      <c r="E60">
        <v>983</v>
      </c>
      <c r="F60">
        <v>483</v>
      </c>
      <c r="G60">
        <v>499</v>
      </c>
      <c r="H60">
        <v>1091</v>
      </c>
      <c r="I60">
        <v>148</v>
      </c>
      <c r="J60">
        <v>78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35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AVERAGE(Table23[Newtonsoft (duration)]) - J38</f>
        <v>8765.3333333333339</v>
      </c>
      <c r="D38" s="2">
        <f>AVERAGE(Table23[.NET baked full (duration)]) - J38</f>
        <v>4259.666666666667</v>
      </c>
      <c r="E38" s="2">
        <f>AVERAGE(Table23[.NET baked minimal (duration)]) - J38</f>
        <v>4205.333333333333</v>
      </c>
      <c r="F38" s="2">
        <f>AVERAGE(Table23[Jackson (duration)]) - J39</f>
        <v>3109.3333333333335</v>
      </c>
      <c r="G38" s="2">
        <f>AVERAGE(Table23[JVM baked full (duration)]) - J39</f>
        <v>2147.6666666666665</v>
      </c>
      <c r="H38" s="2">
        <f>AVERAGE(Table23[JVM baked minimal (duration)]) - J39</f>
        <v>2194.3333333333335</v>
      </c>
      <c r="I38" s="2">
        <f>AVERAGE(Table23[Protobuf.NET (duration)]) - J38</f>
        <v>3305</v>
      </c>
      <c r="J38" s="2">
        <f>AVERAGE(Table24[.NET (instance only)])</f>
        <v>1530</v>
      </c>
      <c r="K38" s="2">
        <f>AVERAGE(Table24[JVM (instance only)])</f>
        <v>379.66666666666669</v>
      </c>
    </row>
    <row r="39" spans="2:11" x14ac:dyDescent="0.25">
      <c r="B39" t="s">
        <v>3</v>
      </c>
      <c r="C39" s="2">
        <f>C40-C38</f>
        <v>20894.333333333336</v>
      </c>
      <c r="D39" s="2">
        <f t="shared" ref="D39:I39" si="0">D40-D38</f>
        <v>5500.333333333333</v>
      </c>
      <c r="E39" s="2">
        <f t="shared" si="0"/>
        <v>5549.0000000000009</v>
      </c>
      <c r="F39" s="2">
        <f t="shared" ref="F39:H39" si="1">F40-F38</f>
        <v>3515.3333333333335</v>
      </c>
      <c r="G39" s="2">
        <f t="shared" si="1"/>
        <v>1913.666666666667</v>
      </c>
      <c r="H39" s="2">
        <f t="shared" si="1"/>
        <v>1846.333333333333</v>
      </c>
      <c r="I39" s="2">
        <f t="shared" si="0"/>
        <v>6132.3333333333339</v>
      </c>
      <c r="J39" s="2"/>
      <c r="K39" s="2"/>
    </row>
    <row r="40" spans="2:11" x14ac:dyDescent="0.25">
      <c r="B40" t="s">
        <v>1</v>
      </c>
      <c r="C40" s="2">
        <f>AVERAGE(Table24[Newtonsoft (duration)]) - J38</f>
        <v>29659.666666666668</v>
      </c>
      <c r="D40" s="2">
        <f>AVERAGE(Table24[.NET baked full (duration)]) - J38</f>
        <v>9760</v>
      </c>
      <c r="E40" s="2">
        <f>AVERAGE(Table24[.NET baked minimal (duration)]) - J38</f>
        <v>9754.3333333333339</v>
      </c>
      <c r="F40" s="2">
        <f>AVERAGE(Table24[Jackson (duration)]) - J39</f>
        <v>6624.666666666667</v>
      </c>
      <c r="G40" s="2">
        <f>AVERAGE(Table24[JVM baked full (duration)]) - J39</f>
        <v>4061.3333333333335</v>
      </c>
      <c r="H40" s="2">
        <f>AVERAGE(Table24[JVM baked minimal (duration)]) - J39</f>
        <v>4040.6666666666665</v>
      </c>
      <c r="I40" s="2">
        <f>AVERAGE(Table24[Protobuf.NET (duration)]) - J38</f>
        <v>9437.3333333333339</v>
      </c>
      <c r="J40" s="2"/>
      <c r="K40" s="2"/>
    </row>
    <row r="41" spans="2:11" x14ac:dyDescent="0.25">
      <c r="B41" t="s">
        <v>8</v>
      </c>
      <c r="C41" s="3">
        <f>AVERAGE(Table23[Newtonsoft (size)])</f>
        <v>517777768</v>
      </c>
      <c r="D41" s="3">
        <f>AVERAGE(Table23[.NET baked full (size)])</f>
        <v>517777780</v>
      </c>
      <c r="E41" s="3">
        <f>AVERAGE(Table23[.NET baked minimal (size)])</f>
        <v>517777768</v>
      </c>
      <c r="F41" s="3">
        <f>AVERAGE(Table23[Jackson (size)])</f>
        <v>517777780</v>
      </c>
      <c r="G41" s="3">
        <f>AVERAGE(Table23[JVM baked full (size)])</f>
        <v>517777780</v>
      </c>
      <c r="H41" s="3">
        <f>AVERAGE(Table23[JVM baked minimal (size)])</f>
        <v>517777768</v>
      </c>
      <c r="I41" s="3">
        <f>AVERAGE(Table23[Protobuf.NET (size)])</f>
        <v>266775224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DEVSQ(Table23[Newtonsoft (duration)])</f>
        <v>98.666666666666657</v>
      </c>
      <c r="D46" s="2">
        <f>DEVSQ(Table23[.NET baked full (duration)])</f>
        <v>760.66666666666663</v>
      </c>
      <c r="E46" s="2">
        <f>DEVSQ(Table23[.NET baked minimal (duration)])</f>
        <v>1412.6666666666665</v>
      </c>
      <c r="F46" s="2">
        <f>DEVSQ(Table23[Jackson (duration)])</f>
        <v>9842.6666666666661</v>
      </c>
      <c r="G46" s="2">
        <f>DEVSQ(Table23[JVM baked full (duration)])</f>
        <v>8432.6666666666679</v>
      </c>
      <c r="H46" s="2">
        <f>DEVSQ(Table23[JVM baked minimal (duration)])</f>
        <v>2562.666666666667</v>
      </c>
      <c r="I46" s="2">
        <f>DEVSQ(Table23[Protobuf.NET (duration)])</f>
        <v>2</v>
      </c>
    </row>
    <row r="47" spans="2:11" x14ac:dyDescent="0.25">
      <c r="B47" t="s">
        <v>1</v>
      </c>
      <c r="C47" s="2">
        <f>DEVSQ(Table24[Newtonsoft (duration)])</f>
        <v>16628.666666666664</v>
      </c>
      <c r="D47" s="2">
        <f>DEVSQ(Table24[.NET baked full (duration)])</f>
        <v>11778</v>
      </c>
      <c r="E47" s="2">
        <f>DEVSQ(Table24[.NET baked minimal (duration)])</f>
        <v>20284.666666666664</v>
      </c>
      <c r="F47" s="2">
        <f>DEVSQ(Table24[Jackson (duration)])</f>
        <v>8432.6666666666679</v>
      </c>
      <c r="G47" s="2">
        <f>DEVSQ(Table24[JVM baked full (duration)])</f>
        <v>3084.666666666667</v>
      </c>
      <c r="H47" s="2">
        <f>DEVSQ(Table24[JVM baked minimal (duration)])</f>
        <v>1472.6666666666665</v>
      </c>
      <c r="I47" s="2">
        <f>DEVSQ(Table24[Protobuf.NET (duration)])</f>
        <v>574364.66666666663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10288</v>
      </c>
      <c r="C52">
        <v>517777768</v>
      </c>
      <c r="D52">
        <v>5770</v>
      </c>
      <c r="E52">
        <v>517777780</v>
      </c>
      <c r="F52">
        <v>5766</v>
      </c>
      <c r="G52">
        <v>517777768</v>
      </c>
      <c r="H52">
        <v>3042</v>
      </c>
      <c r="I52">
        <v>517777780</v>
      </c>
      <c r="J52">
        <v>2200</v>
      </c>
      <c r="K52">
        <v>517777780</v>
      </c>
      <c r="L52">
        <v>2153</v>
      </c>
      <c r="M52">
        <v>517777768</v>
      </c>
      <c r="N52">
        <v>4834</v>
      </c>
      <c r="O52">
        <v>266775224</v>
      </c>
    </row>
    <row r="53" spans="2:15" x14ac:dyDescent="0.25">
      <c r="B53">
        <v>10302</v>
      </c>
      <c r="C53">
        <v>517777768</v>
      </c>
      <c r="D53">
        <v>5809</v>
      </c>
      <c r="E53">
        <v>517777780</v>
      </c>
      <c r="F53">
        <v>5719</v>
      </c>
      <c r="G53">
        <v>517777768</v>
      </c>
      <c r="H53">
        <v>3182</v>
      </c>
      <c r="I53">
        <v>517777780</v>
      </c>
      <c r="J53">
        <v>2168</v>
      </c>
      <c r="K53">
        <v>517777780</v>
      </c>
      <c r="L53">
        <v>2215</v>
      </c>
      <c r="M53">
        <v>517777768</v>
      </c>
      <c r="N53">
        <v>4835</v>
      </c>
      <c r="O53">
        <v>266775224</v>
      </c>
    </row>
    <row r="54" spans="2:15" x14ac:dyDescent="0.25">
      <c r="B54">
        <v>10296</v>
      </c>
      <c r="C54">
        <v>517777768</v>
      </c>
      <c r="D54">
        <v>5790</v>
      </c>
      <c r="E54">
        <v>517777780</v>
      </c>
      <c r="F54">
        <v>5721</v>
      </c>
      <c r="G54">
        <v>517777768</v>
      </c>
      <c r="H54">
        <v>3104</v>
      </c>
      <c r="I54">
        <v>517777780</v>
      </c>
      <c r="J54">
        <v>2075</v>
      </c>
      <c r="K54">
        <v>517777780</v>
      </c>
      <c r="L54">
        <v>2215</v>
      </c>
      <c r="M54">
        <v>517777768</v>
      </c>
      <c r="N54">
        <v>4836</v>
      </c>
      <c r="O54">
        <v>266775224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31102</v>
      </c>
      <c r="C58">
        <v>11378</v>
      </c>
      <c r="D58">
        <v>11263</v>
      </c>
      <c r="E58">
        <v>6645</v>
      </c>
      <c r="F58">
        <v>4056</v>
      </c>
      <c r="G58">
        <v>4025</v>
      </c>
      <c r="H58">
        <v>10647</v>
      </c>
      <c r="I58">
        <v>1531</v>
      </c>
      <c r="J58">
        <v>374</v>
      </c>
    </row>
    <row r="59" spans="2:15" x14ac:dyDescent="0.25">
      <c r="B59">
        <v>31284</v>
      </c>
      <c r="C59">
        <v>11237</v>
      </c>
      <c r="D59">
        <v>11196</v>
      </c>
      <c r="E59">
        <v>6677</v>
      </c>
      <c r="F59">
        <v>4103</v>
      </c>
      <c r="G59">
        <v>4072</v>
      </c>
      <c r="H59">
        <v>11586</v>
      </c>
      <c r="I59">
        <v>1529</v>
      </c>
      <c r="J59">
        <v>375</v>
      </c>
    </row>
    <row r="60" spans="2:15" x14ac:dyDescent="0.25">
      <c r="B60">
        <v>31183</v>
      </c>
      <c r="C60">
        <v>11255</v>
      </c>
      <c r="D60">
        <v>11394</v>
      </c>
      <c r="E60">
        <v>6552</v>
      </c>
      <c r="F60">
        <v>4025</v>
      </c>
      <c r="G60">
        <v>4025</v>
      </c>
      <c r="H60">
        <v>10669</v>
      </c>
      <c r="I60">
        <v>1530</v>
      </c>
      <c r="J60">
        <v>390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36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AVERAGE(Table27[Newtonsoft (duration)]) - J38</f>
        <v>146</v>
      </c>
      <c r="D38" s="2">
        <f>AVERAGE(Table27[.NET baked full (duration)]) - J38</f>
        <v>63</v>
      </c>
      <c r="E38" s="2">
        <f>AVERAGE(Table27[.NET baked minimal (duration)]) - J38</f>
        <v>63</v>
      </c>
      <c r="F38" s="2">
        <f>AVERAGE(Table27[Jackson (duration)]) - J39</f>
        <v>192</v>
      </c>
      <c r="G38" s="2">
        <f>AVERAGE(Table27[JVM baked full (duration)]) - J39</f>
        <v>150.66666666666666</v>
      </c>
      <c r="H38" s="2">
        <f>AVERAGE(Table27[JVM baked minimal (duration)]) - J39</f>
        <v>150.66666666666666</v>
      </c>
      <c r="I38" s="2">
        <f>AVERAGE(Table27[Protobuf.NET (duration)]) - J38</f>
        <v>42</v>
      </c>
      <c r="J38" s="2">
        <f>AVERAGE(Table28[.NET (instance only)])</f>
        <v>11</v>
      </c>
      <c r="K38" s="2">
        <f>AVERAGE(Table28[JVM (instance only)])</f>
        <v>83</v>
      </c>
    </row>
    <row r="39" spans="2:11" x14ac:dyDescent="0.25">
      <c r="B39" t="s">
        <v>3</v>
      </c>
      <c r="C39" s="2">
        <f>C40-C38</f>
        <v>368.33333333333337</v>
      </c>
      <c r="D39" s="2">
        <f t="shared" ref="D39:I39" si="0">D40-D38</f>
        <v>107.33333333333334</v>
      </c>
      <c r="E39" s="2">
        <f t="shared" si="0"/>
        <v>105.66666666666666</v>
      </c>
      <c r="F39" s="2">
        <f t="shared" ref="F39:H39" si="1">F40-F38</f>
        <v>146</v>
      </c>
      <c r="G39" s="2">
        <f t="shared" si="1"/>
        <v>46.666666666666686</v>
      </c>
      <c r="H39" s="2">
        <f t="shared" si="1"/>
        <v>51.666666666666686</v>
      </c>
      <c r="I39" s="2">
        <f t="shared" si="0"/>
        <v>60.333333333333329</v>
      </c>
      <c r="J39" s="2"/>
      <c r="K39" s="2"/>
    </row>
    <row r="40" spans="2:11" x14ac:dyDescent="0.25">
      <c r="B40" t="s">
        <v>1</v>
      </c>
      <c r="C40" s="2">
        <f>AVERAGE(Table28[Newtonsoft (duration)]) - J38</f>
        <v>514.33333333333337</v>
      </c>
      <c r="D40" s="2">
        <f>AVERAGE(Table28[.NET baked full (duration)]) - J38</f>
        <v>170.33333333333334</v>
      </c>
      <c r="E40" s="2">
        <f>AVERAGE(Table28[.NET baked minimal (duration)]) - J38</f>
        <v>168.66666666666666</v>
      </c>
      <c r="F40" s="2">
        <f>AVERAGE(Table28[Jackson (duration)]) - J39</f>
        <v>338</v>
      </c>
      <c r="G40" s="2">
        <f>AVERAGE(Table28[JVM baked full (duration)]) - J39</f>
        <v>197.33333333333334</v>
      </c>
      <c r="H40" s="2">
        <f>AVERAGE(Table28[JVM baked minimal (duration)]) - J39</f>
        <v>202.33333333333334</v>
      </c>
      <c r="I40" s="2">
        <f>AVERAGE(Table28[Protobuf.NET (duration)]) - J38</f>
        <v>102.33333333333333</v>
      </c>
      <c r="J40" s="2"/>
      <c r="K40" s="2"/>
    </row>
    <row r="41" spans="2:11" x14ac:dyDescent="0.25">
      <c r="B41" t="s">
        <v>8</v>
      </c>
      <c r="C41" s="3">
        <f>AVERAGE(Table27[Newtonsoft (size)])</f>
        <v>3346868</v>
      </c>
      <c r="D41" s="3">
        <f>AVERAGE(Table27[.NET baked full (size)])</f>
        <v>3346489</v>
      </c>
      <c r="E41" s="3">
        <f>AVERAGE(Table27[.NET baked minimal (size)])</f>
        <v>3346472</v>
      </c>
      <c r="F41" s="3">
        <f>AVERAGE(Table27[Jackson (size)])</f>
        <v>4477194</v>
      </c>
      <c r="G41" s="3">
        <f>AVERAGE(Table27[JVM baked full (size)])</f>
        <v>4477190</v>
      </c>
      <c r="H41" s="3">
        <f>AVERAGE(Table27[JVM baked minimal (size)])</f>
        <v>4477173</v>
      </c>
      <c r="I41" s="3">
        <f>AVERAGE(Table27[Protobuf.NET (size)])</f>
        <v>1658087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DEVSQ(Table27[Newtonsoft (duration)])</f>
        <v>2</v>
      </c>
      <c r="D46" s="2">
        <f>DEVSQ(Table27[.NET baked full (duration)])</f>
        <v>0</v>
      </c>
      <c r="E46" s="2">
        <f>DEVSQ(Table27[.NET baked minimal (duration)])</f>
        <v>0</v>
      </c>
      <c r="F46" s="2">
        <f>DEVSQ(Table27[Jackson (duration)])</f>
        <v>150</v>
      </c>
      <c r="G46" s="2">
        <f>DEVSQ(Table27[JVM baked full (duration)])</f>
        <v>170.66666666666666</v>
      </c>
      <c r="H46" s="2">
        <f>DEVSQ(Table27[JVM baked minimal (duration)])</f>
        <v>170.66666666666666</v>
      </c>
      <c r="I46" s="2">
        <f>DEVSQ(Table27[Protobuf.NET (duration)])</f>
        <v>0</v>
      </c>
    </row>
    <row r="47" spans="2:11" x14ac:dyDescent="0.25">
      <c r="B47" t="s">
        <v>1</v>
      </c>
      <c r="C47" s="2">
        <f>DEVSQ(Table28[Newtonsoft (duration)])</f>
        <v>7704.666666666667</v>
      </c>
      <c r="D47" s="2">
        <f>DEVSQ(Table28[.NET baked full (duration)])</f>
        <v>4.6666666666666661</v>
      </c>
      <c r="E47" s="2">
        <f>DEVSQ(Table28[.NET baked minimal (duration)])</f>
        <v>0.66666666666666674</v>
      </c>
      <c r="F47" s="2">
        <f>DEVSQ(Table28[Jackson (duration)])</f>
        <v>2646</v>
      </c>
      <c r="G47" s="2">
        <f>DEVSQ(Table28[JVM baked full (duration)])</f>
        <v>160.66666666666666</v>
      </c>
      <c r="H47" s="2">
        <f>DEVSQ(Table28[JVM baked minimal (duration)])</f>
        <v>0.66666666666666674</v>
      </c>
      <c r="I47" s="2">
        <f>DEVSQ(Table28[Protobuf.NET (duration)])</f>
        <v>0.66666666666666663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158</v>
      </c>
      <c r="C52">
        <v>3346868</v>
      </c>
      <c r="D52">
        <v>74</v>
      </c>
      <c r="E52">
        <v>3346489</v>
      </c>
      <c r="F52">
        <v>74</v>
      </c>
      <c r="G52">
        <v>3346472</v>
      </c>
      <c r="H52">
        <v>202</v>
      </c>
      <c r="I52">
        <v>4477194</v>
      </c>
      <c r="J52">
        <v>156</v>
      </c>
      <c r="K52">
        <v>4477190</v>
      </c>
      <c r="L52">
        <v>156</v>
      </c>
      <c r="M52">
        <v>4477173</v>
      </c>
      <c r="N52">
        <v>53</v>
      </c>
      <c r="O52">
        <v>1658087</v>
      </c>
    </row>
    <row r="53" spans="2:15" x14ac:dyDescent="0.25">
      <c r="B53">
        <v>157</v>
      </c>
      <c r="C53">
        <v>3346868</v>
      </c>
      <c r="D53">
        <v>74</v>
      </c>
      <c r="E53">
        <v>3346489</v>
      </c>
      <c r="F53">
        <v>74</v>
      </c>
      <c r="G53">
        <v>3346472</v>
      </c>
      <c r="H53">
        <v>187</v>
      </c>
      <c r="I53">
        <v>4477194</v>
      </c>
      <c r="J53">
        <v>140</v>
      </c>
      <c r="K53">
        <v>4477190</v>
      </c>
      <c r="L53">
        <v>140</v>
      </c>
      <c r="M53">
        <v>4477173</v>
      </c>
      <c r="N53">
        <v>53</v>
      </c>
      <c r="O53">
        <v>1658087</v>
      </c>
    </row>
    <row r="54" spans="2:15" x14ac:dyDescent="0.25">
      <c r="B54">
        <v>156</v>
      </c>
      <c r="C54">
        <v>3346868</v>
      </c>
      <c r="D54">
        <v>74</v>
      </c>
      <c r="E54">
        <v>3346489</v>
      </c>
      <c r="F54">
        <v>74</v>
      </c>
      <c r="G54">
        <v>3346472</v>
      </c>
      <c r="H54">
        <v>187</v>
      </c>
      <c r="I54">
        <v>4477194</v>
      </c>
      <c r="J54">
        <v>156</v>
      </c>
      <c r="K54">
        <v>4477190</v>
      </c>
      <c r="L54">
        <v>156</v>
      </c>
      <c r="M54">
        <v>4477173</v>
      </c>
      <c r="N54">
        <v>53</v>
      </c>
      <c r="O54">
        <v>1658087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490</v>
      </c>
      <c r="C58">
        <v>180</v>
      </c>
      <c r="D58">
        <v>179</v>
      </c>
      <c r="E58">
        <v>359</v>
      </c>
      <c r="F58">
        <v>202</v>
      </c>
      <c r="G58">
        <v>202</v>
      </c>
      <c r="H58">
        <v>114</v>
      </c>
      <c r="I58">
        <v>11</v>
      </c>
      <c r="J58">
        <v>78</v>
      </c>
    </row>
    <row r="59" spans="2:15" x14ac:dyDescent="0.25">
      <c r="B59">
        <v>597</v>
      </c>
      <c r="C59">
        <v>181</v>
      </c>
      <c r="D59">
        <v>180</v>
      </c>
      <c r="E59">
        <v>296</v>
      </c>
      <c r="F59">
        <v>203</v>
      </c>
      <c r="G59">
        <v>203</v>
      </c>
      <c r="H59">
        <v>113</v>
      </c>
      <c r="I59">
        <v>11</v>
      </c>
      <c r="J59">
        <v>93</v>
      </c>
    </row>
    <row r="60" spans="2:15" x14ac:dyDescent="0.25">
      <c r="B60">
        <v>489</v>
      </c>
      <c r="C60">
        <v>183</v>
      </c>
      <c r="D60">
        <v>180</v>
      </c>
      <c r="E60">
        <v>359</v>
      </c>
      <c r="F60">
        <v>187</v>
      </c>
      <c r="G60">
        <v>202</v>
      </c>
      <c r="H60">
        <v>113</v>
      </c>
      <c r="I60">
        <v>11</v>
      </c>
      <c r="J60">
        <v>78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37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AVERAGE(Table31[Newtonsoft (duration)]) - J38</f>
        <v>1498</v>
      </c>
      <c r="D38" s="2">
        <f>AVERAGE(Table31[.NET baked full (duration)]) - J38</f>
        <v>647.33333333333337</v>
      </c>
      <c r="E38" s="2">
        <f>AVERAGE(Table31[.NET baked minimal (duration)]) - J38</f>
        <v>636</v>
      </c>
      <c r="F38" s="2">
        <f>AVERAGE(Table31[Jackson (duration)]) - J39</f>
        <v>1035</v>
      </c>
      <c r="G38" s="2">
        <f>AVERAGE(Table31[JVM baked full (duration)]) - J39</f>
        <v>795.33333333333337</v>
      </c>
      <c r="H38" s="2">
        <f>AVERAGE(Table31[JVM baked minimal (duration)]) - J39</f>
        <v>800.33333333333337</v>
      </c>
      <c r="I38" s="2">
        <f>AVERAGE(Table31[Protobuf.NET (duration)]) - J38</f>
        <v>454</v>
      </c>
      <c r="J38" s="2">
        <f>AVERAGE(Table32[.NET (instance only)])</f>
        <v>112</v>
      </c>
      <c r="K38" s="2">
        <f>AVERAGE(Table32[JVM (instance only)])</f>
        <v>400.66666666666669</v>
      </c>
    </row>
    <row r="39" spans="2:11" x14ac:dyDescent="0.25">
      <c r="B39" t="s">
        <v>3</v>
      </c>
      <c r="C39" s="2">
        <f>C40-C38</f>
        <v>3394.333333333333</v>
      </c>
      <c r="D39" s="2">
        <f t="shared" ref="D39:I39" si="0">D40-D38</f>
        <v>1095.6666666666665</v>
      </c>
      <c r="E39" s="2">
        <f t="shared" si="0"/>
        <v>1084</v>
      </c>
      <c r="F39" s="2">
        <f t="shared" ref="F39:H39" si="1">F40-F38</f>
        <v>618.66666666666674</v>
      </c>
      <c r="G39" s="2">
        <f t="shared" si="1"/>
        <v>369.66666666666663</v>
      </c>
      <c r="H39" s="2">
        <f t="shared" si="1"/>
        <v>333.66666666666663</v>
      </c>
      <c r="I39" s="2">
        <f t="shared" si="0"/>
        <v>622.66666666666674</v>
      </c>
      <c r="J39" s="2"/>
      <c r="K39" s="2"/>
    </row>
    <row r="40" spans="2:11" x14ac:dyDescent="0.25">
      <c r="B40" t="s">
        <v>1</v>
      </c>
      <c r="C40" s="2">
        <f>AVERAGE(Table32[Newtonsoft (duration)]) - J38</f>
        <v>4892.333333333333</v>
      </c>
      <c r="D40" s="2">
        <f>AVERAGE(Table32[.NET baked full (duration)]) - J38</f>
        <v>1743</v>
      </c>
      <c r="E40" s="2">
        <f>AVERAGE(Table32[.NET baked minimal (duration)]) - J38</f>
        <v>1720</v>
      </c>
      <c r="F40" s="2">
        <f>AVERAGE(Table32[Jackson (duration)]) - J39</f>
        <v>1653.6666666666667</v>
      </c>
      <c r="G40" s="2">
        <f>AVERAGE(Table32[JVM baked full (duration)]) - J39</f>
        <v>1165</v>
      </c>
      <c r="H40" s="2">
        <f>AVERAGE(Table32[JVM baked minimal (duration)]) - J39</f>
        <v>1134</v>
      </c>
      <c r="I40" s="2">
        <f>AVERAGE(Table32[Protobuf.NET (duration)]) - J38</f>
        <v>1076.6666666666667</v>
      </c>
      <c r="J40" s="2"/>
      <c r="K40" s="2"/>
    </row>
    <row r="41" spans="2:11" x14ac:dyDescent="0.25">
      <c r="B41" t="s">
        <v>8</v>
      </c>
      <c r="C41" s="3">
        <f>AVERAGE(Table31[Newtonsoft (size)])</f>
        <v>36448868</v>
      </c>
      <c r="D41" s="3">
        <f>AVERAGE(Table31[.NET baked full (size)])</f>
        <v>36444889</v>
      </c>
      <c r="E41" s="3">
        <f>AVERAGE(Table31[.NET baked minimal (size)])</f>
        <v>36444872</v>
      </c>
      <c r="F41" s="3">
        <f>AVERAGE(Table31[Jackson (size)])</f>
        <v>46514394</v>
      </c>
      <c r="G41" s="3">
        <f>AVERAGE(Table31[JVM baked full (size)])</f>
        <v>46514390</v>
      </c>
      <c r="H41" s="3">
        <f>AVERAGE(Table31[JVM baked minimal (size)])</f>
        <v>46514373</v>
      </c>
      <c r="I41" s="3">
        <f>AVERAGE(Table31[Protobuf.NET (size)])</f>
        <v>16941514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DEVSQ(Table31[Newtonsoft (duration)])</f>
        <v>3614</v>
      </c>
      <c r="D46" s="2">
        <f>DEVSQ(Table31[.NET baked full (duration)])</f>
        <v>368.66666666666669</v>
      </c>
      <c r="E46" s="2">
        <f>DEVSQ(Table31[.NET baked minimal (duration)])</f>
        <v>6</v>
      </c>
      <c r="F46" s="2">
        <f>DEVSQ(Table31[Jackson (duration)])</f>
        <v>1142</v>
      </c>
      <c r="G46" s="2">
        <f>DEVSQ(Table31[JVM baked full (duration)])</f>
        <v>0.66666666666666663</v>
      </c>
      <c r="H46" s="2">
        <f>DEVSQ(Table31[JVM baked minimal (duration)])</f>
        <v>170.66666666666669</v>
      </c>
      <c r="I46" s="2">
        <f>DEVSQ(Table31[Protobuf.NET (duration)])</f>
        <v>32856</v>
      </c>
    </row>
    <row r="47" spans="2:11" x14ac:dyDescent="0.25">
      <c r="B47" t="s">
        <v>1</v>
      </c>
      <c r="C47" s="2">
        <f>DEVSQ(Table32[Newtonsoft (duration)])</f>
        <v>26884.666666666668</v>
      </c>
      <c r="D47" s="2">
        <f>DEVSQ(Table32[.NET baked full (duration)])</f>
        <v>854</v>
      </c>
      <c r="E47" s="2">
        <f>DEVSQ(Table32[.NET baked minimal (duration)])</f>
        <v>14</v>
      </c>
      <c r="F47" s="2">
        <f>DEVSQ(Table32[Jackson (duration)])</f>
        <v>9098.6666666666661</v>
      </c>
      <c r="G47" s="2">
        <f>DEVSQ(Table32[JVM baked full (duration)])</f>
        <v>662</v>
      </c>
      <c r="H47" s="2">
        <f>DEVSQ(Table32[JVM baked minimal (duration)])</f>
        <v>150</v>
      </c>
      <c r="I47" s="2">
        <f>DEVSQ(Table32[Protobuf.NET (duration)])</f>
        <v>40402.666666666672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1568</v>
      </c>
      <c r="C52">
        <v>36448868</v>
      </c>
      <c r="D52">
        <v>751</v>
      </c>
      <c r="E52">
        <v>36444889</v>
      </c>
      <c r="F52">
        <v>747</v>
      </c>
      <c r="G52">
        <v>36444872</v>
      </c>
      <c r="H52">
        <v>1030</v>
      </c>
      <c r="I52">
        <v>46514394</v>
      </c>
      <c r="J52">
        <v>795</v>
      </c>
      <c r="K52">
        <v>46514390</v>
      </c>
      <c r="L52">
        <v>811</v>
      </c>
      <c r="M52">
        <v>46514373</v>
      </c>
      <c r="N52">
        <v>492</v>
      </c>
      <c r="O52">
        <v>16941514</v>
      </c>
    </row>
    <row r="53" spans="2:15" x14ac:dyDescent="0.25">
      <c r="B53">
        <v>1653</v>
      </c>
      <c r="C53">
        <v>36448868</v>
      </c>
      <c r="D53">
        <v>775</v>
      </c>
      <c r="E53">
        <v>36444889</v>
      </c>
      <c r="F53">
        <v>750</v>
      </c>
      <c r="G53">
        <v>36444872</v>
      </c>
      <c r="H53">
        <v>1061</v>
      </c>
      <c r="I53">
        <v>46514394</v>
      </c>
      <c r="J53">
        <v>796</v>
      </c>
      <c r="K53">
        <v>46514390</v>
      </c>
      <c r="L53">
        <v>795</v>
      </c>
      <c r="M53">
        <v>46514373</v>
      </c>
      <c r="N53">
        <v>714</v>
      </c>
      <c r="O53">
        <v>16941514</v>
      </c>
    </row>
    <row r="54" spans="2:15" x14ac:dyDescent="0.25">
      <c r="B54">
        <v>1609</v>
      </c>
      <c r="C54">
        <v>36448868</v>
      </c>
      <c r="D54">
        <v>752</v>
      </c>
      <c r="E54">
        <v>36444889</v>
      </c>
      <c r="F54">
        <v>747</v>
      </c>
      <c r="G54">
        <v>36444872</v>
      </c>
      <c r="H54">
        <v>1014</v>
      </c>
      <c r="I54">
        <v>46514394</v>
      </c>
      <c r="J54">
        <v>795</v>
      </c>
      <c r="K54">
        <v>46514390</v>
      </c>
      <c r="L54">
        <v>795</v>
      </c>
      <c r="M54">
        <v>46514373</v>
      </c>
      <c r="N54">
        <v>492</v>
      </c>
      <c r="O54">
        <v>16941514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5096</v>
      </c>
      <c r="C58">
        <v>1852</v>
      </c>
      <c r="D58">
        <v>1833</v>
      </c>
      <c r="E58">
        <v>1623</v>
      </c>
      <c r="F58">
        <v>1154</v>
      </c>
      <c r="G58">
        <v>1124</v>
      </c>
      <c r="H58">
        <v>1058</v>
      </c>
      <c r="I58">
        <v>112</v>
      </c>
      <c r="J58">
        <v>406</v>
      </c>
    </row>
    <row r="59" spans="2:15" x14ac:dyDescent="0.25">
      <c r="B59">
        <v>4874</v>
      </c>
      <c r="C59">
        <v>1836</v>
      </c>
      <c r="D59">
        <v>1834</v>
      </c>
      <c r="E59">
        <v>1607</v>
      </c>
      <c r="F59">
        <v>1186</v>
      </c>
      <c r="G59">
        <v>1139</v>
      </c>
      <c r="H59">
        <v>1168</v>
      </c>
      <c r="I59">
        <v>112</v>
      </c>
      <c r="J59">
        <v>390</v>
      </c>
    </row>
    <row r="60" spans="2:15" x14ac:dyDescent="0.25">
      <c r="B60">
        <v>5043</v>
      </c>
      <c r="C60">
        <v>1877</v>
      </c>
      <c r="D60">
        <v>1829</v>
      </c>
      <c r="E60">
        <v>1731</v>
      </c>
      <c r="F60">
        <v>1155</v>
      </c>
      <c r="G60">
        <v>1139</v>
      </c>
      <c r="H60">
        <v>1340</v>
      </c>
      <c r="I60">
        <v>112</v>
      </c>
      <c r="J60">
        <v>406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38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29</v>
      </c>
      <c r="K37" t="s">
        <v>30</v>
      </c>
    </row>
    <row r="38" spans="2:11" x14ac:dyDescent="0.25">
      <c r="B38" t="s">
        <v>0</v>
      </c>
      <c r="C38" s="2">
        <f>AVERAGE(Table35[Newtonsoft (duration)]) - J38</f>
        <v>14795</v>
      </c>
      <c r="D38" s="2">
        <f>AVERAGE(Table35[.NET baked full (duration)]) - J38</f>
        <v>6622.333333333333</v>
      </c>
      <c r="E38" s="2">
        <f>AVERAGE(Table35[.NET baked minimal (duration)]) - J38</f>
        <v>6571</v>
      </c>
      <c r="F38" s="2">
        <f>AVERAGE(Table35[Jackson (duration)]) - J39</f>
        <v>8700</v>
      </c>
      <c r="G38" s="2">
        <f>AVERAGE(Table35[JVM baked full (duration)]) - J39</f>
        <v>6853.666666666667</v>
      </c>
      <c r="H38" s="2">
        <f>AVERAGE(Table35[JVM baked minimal (duration)]) - J39</f>
        <v>6843.333333333333</v>
      </c>
      <c r="I38" s="2">
        <f>AVERAGE(Table35[Protobuf.NET (duration)]) - J38</f>
        <v>3777.333333333333</v>
      </c>
      <c r="J38" s="2">
        <f>AVERAGE(Table36[.NET (instance only)])</f>
        <v>1127</v>
      </c>
      <c r="K38" s="2">
        <f>AVERAGE(Table36[JVM (instance only)])</f>
        <v>3239.6666666666665</v>
      </c>
    </row>
    <row r="39" spans="2:11" x14ac:dyDescent="0.25">
      <c r="B39" t="s">
        <v>3</v>
      </c>
      <c r="C39" s="2">
        <f>C40-C38</f>
        <v>32719</v>
      </c>
      <c r="D39" s="2">
        <f t="shared" ref="D39:I39" si="0">D40-D38</f>
        <v>11441.666666666668</v>
      </c>
      <c r="E39" s="2">
        <f t="shared" si="0"/>
        <v>11424.333333333332</v>
      </c>
      <c r="F39" s="2">
        <f t="shared" ref="F39:H39" si="1">F40-F38</f>
        <v>6021.3333333333339</v>
      </c>
      <c r="G39" s="2">
        <f t="shared" si="1"/>
        <v>3488.9999999999991</v>
      </c>
      <c r="H39" s="2">
        <f t="shared" si="1"/>
        <v>3509.333333333333</v>
      </c>
      <c r="I39" s="2">
        <f t="shared" si="0"/>
        <v>5654.0000000000009</v>
      </c>
      <c r="J39" s="2"/>
      <c r="K39" s="2"/>
    </row>
    <row r="40" spans="2:11" x14ac:dyDescent="0.25">
      <c r="B40" t="s">
        <v>1</v>
      </c>
      <c r="C40" s="2">
        <f>AVERAGE(Table36[Newtonsoft (duration)]) - J38</f>
        <v>47514</v>
      </c>
      <c r="D40" s="2">
        <f>AVERAGE(Table36[.NET baked full (duration)]) - J38</f>
        <v>18064</v>
      </c>
      <c r="E40" s="2">
        <f>AVERAGE(Table36[.NET baked minimal (duration)]) - J38</f>
        <v>17995.333333333332</v>
      </c>
      <c r="F40" s="2">
        <f>AVERAGE(Table36[Jackson (duration)]) - J39</f>
        <v>14721.333333333334</v>
      </c>
      <c r="G40" s="2">
        <f>AVERAGE(Table36[JVM baked full (duration)]) - J39</f>
        <v>10342.666666666666</v>
      </c>
      <c r="H40" s="2">
        <f>AVERAGE(Table36[JVM baked minimal (duration)]) - J39</f>
        <v>10352.666666666666</v>
      </c>
      <c r="I40" s="2">
        <f>AVERAGE(Table36[Protobuf.NET (duration)]) - J38</f>
        <v>9431.3333333333339</v>
      </c>
      <c r="J40" s="2"/>
      <c r="K40" s="2"/>
    </row>
    <row r="41" spans="2:11" x14ac:dyDescent="0.25">
      <c r="B41" t="s">
        <v>8</v>
      </c>
      <c r="C41" s="3">
        <f>AVERAGE(Table35[Newtonsoft (size)])</f>
        <v>394468868</v>
      </c>
      <c r="D41" s="3">
        <f>AVERAGE(Table35[.NET baked full (size)])</f>
        <v>394428889</v>
      </c>
      <c r="E41" s="3">
        <f>AVERAGE(Table35[.NET baked minimal (size)])</f>
        <v>394428872</v>
      </c>
      <c r="F41" s="3">
        <f>AVERAGE(Table35[Jackson (size)])</f>
        <v>471015610</v>
      </c>
      <c r="G41" s="3">
        <f>AVERAGE(Table35[JVM baked full (size)])</f>
        <v>471015606</v>
      </c>
      <c r="H41" s="3">
        <f>AVERAGE(Table35[JVM baked minimal (size)])</f>
        <v>471015589</v>
      </c>
      <c r="I41" s="3">
        <f>AVERAGE(Table35[Protobuf.NET (size)])</f>
        <v>184924181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>
        <f>DEVSQ(Table35[Newtonsoft (duration)])</f>
        <v>776</v>
      </c>
      <c r="D46" s="2">
        <f>DEVSQ(Table35[.NET baked full (duration)])</f>
        <v>1802.6666666666665</v>
      </c>
      <c r="E46" s="2">
        <f>DEVSQ(Table35[.NET baked minimal (duration)])</f>
        <v>1350</v>
      </c>
      <c r="F46" s="2">
        <f>DEVSQ(Table35[Jackson (duration)])</f>
        <v>11714</v>
      </c>
      <c r="G46" s="2">
        <f>DEVSQ(Table35[JVM baked full (duration)])</f>
        <v>5028.666666666667</v>
      </c>
      <c r="H46" s="2">
        <f>DEVSQ(Table35[JVM baked minimal (duration)])</f>
        <v>4160.6666666666661</v>
      </c>
      <c r="I46" s="2">
        <f>DEVSQ(Table35[Protobuf.NET (duration)])</f>
        <v>0.66666666666666663</v>
      </c>
    </row>
    <row r="47" spans="2:11" x14ac:dyDescent="0.25">
      <c r="B47" t="s">
        <v>1</v>
      </c>
      <c r="C47" s="2">
        <f>DEVSQ(Table36[Newtonsoft (duration)])</f>
        <v>445022</v>
      </c>
      <c r="D47" s="2">
        <f>DEVSQ(Table36[.NET baked full (duration)])</f>
        <v>31992</v>
      </c>
      <c r="E47" s="2">
        <f>DEVSQ(Table36[.NET baked minimal (duration)])</f>
        <v>31580.666666666664</v>
      </c>
      <c r="F47" s="2">
        <f>DEVSQ(Table36[Jackson (duration)])</f>
        <v>16808.666666666668</v>
      </c>
      <c r="G47" s="2">
        <f>DEVSQ(Table36[JVM baked full (duration)])</f>
        <v>13066.666666666666</v>
      </c>
      <c r="H47" s="2">
        <f>DEVSQ(Table36[JVM baked minimal (duration)])</f>
        <v>20088.666666666664</v>
      </c>
      <c r="I47" s="2">
        <f>DEVSQ(Table36[Protobuf.NET (duration)])</f>
        <v>120.66666666666666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28</v>
      </c>
      <c r="N51" t="s">
        <v>27</v>
      </c>
      <c r="O51" t="s">
        <v>26</v>
      </c>
    </row>
    <row r="52" spans="2:15" x14ac:dyDescent="0.25">
      <c r="B52">
        <v>15928</v>
      </c>
      <c r="C52">
        <v>394468868</v>
      </c>
      <c r="D52">
        <v>7732</v>
      </c>
      <c r="E52">
        <v>394428889</v>
      </c>
      <c r="F52">
        <v>7728</v>
      </c>
      <c r="G52">
        <v>394428872</v>
      </c>
      <c r="H52">
        <v>8751</v>
      </c>
      <c r="I52">
        <v>471015610</v>
      </c>
      <c r="J52">
        <v>6911</v>
      </c>
      <c r="K52">
        <v>471015606</v>
      </c>
      <c r="L52">
        <v>6817</v>
      </c>
      <c r="M52">
        <v>471015589</v>
      </c>
      <c r="N52">
        <v>4904</v>
      </c>
      <c r="O52">
        <v>184924181</v>
      </c>
    </row>
    <row r="53" spans="2:15" x14ac:dyDescent="0.25">
      <c r="B53">
        <v>15938</v>
      </c>
      <c r="C53">
        <v>394468868</v>
      </c>
      <c r="D53">
        <v>7784</v>
      </c>
      <c r="E53">
        <v>394428889</v>
      </c>
      <c r="F53">
        <v>7683</v>
      </c>
      <c r="G53">
        <v>394428872</v>
      </c>
      <c r="H53">
        <v>8737</v>
      </c>
      <c r="I53">
        <v>471015610</v>
      </c>
      <c r="J53">
        <v>6818</v>
      </c>
      <c r="K53">
        <v>471015606</v>
      </c>
      <c r="L53">
        <v>6896</v>
      </c>
      <c r="M53">
        <v>471015589</v>
      </c>
      <c r="N53">
        <v>4904</v>
      </c>
      <c r="O53">
        <v>184924181</v>
      </c>
    </row>
    <row r="54" spans="2:15" x14ac:dyDescent="0.25">
      <c r="B54">
        <v>15900</v>
      </c>
      <c r="C54">
        <v>394468868</v>
      </c>
      <c r="D54">
        <v>7732</v>
      </c>
      <c r="E54">
        <v>394428889</v>
      </c>
      <c r="F54">
        <v>7683</v>
      </c>
      <c r="G54">
        <v>394428872</v>
      </c>
      <c r="H54">
        <v>8612</v>
      </c>
      <c r="I54">
        <v>471015610</v>
      </c>
      <c r="J54">
        <v>6832</v>
      </c>
      <c r="K54">
        <v>471015606</v>
      </c>
      <c r="L54">
        <v>6817</v>
      </c>
      <c r="M54">
        <v>471015589</v>
      </c>
      <c r="N54">
        <v>4905</v>
      </c>
      <c r="O54">
        <v>184924181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17</v>
      </c>
      <c r="D57" t="s">
        <v>19</v>
      </c>
      <c r="E57" t="s">
        <v>21</v>
      </c>
      <c r="F57" t="s">
        <v>23</v>
      </c>
      <c r="G57" t="s">
        <v>25</v>
      </c>
      <c r="H57" t="s">
        <v>27</v>
      </c>
      <c r="I57" t="s">
        <v>29</v>
      </c>
      <c r="J57" t="s">
        <v>30</v>
      </c>
    </row>
    <row r="58" spans="2:15" x14ac:dyDescent="0.25">
      <c r="B58">
        <v>48190</v>
      </c>
      <c r="C58">
        <v>19267</v>
      </c>
      <c r="D58">
        <v>18988</v>
      </c>
      <c r="E58">
        <v>14789</v>
      </c>
      <c r="F58">
        <v>10296</v>
      </c>
      <c r="G58">
        <v>10311</v>
      </c>
      <c r="H58">
        <v>10556</v>
      </c>
      <c r="I58">
        <v>1124</v>
      </c>
      <c r="J58">
        <v>3276</v>
      </c>
    </row>
    <row r="59" spans="2:15" x14ac:dyDescent="0.25">
      <c r="B59">
        <v>48602</v>
      </c>
      <c r="C59">
        <v>19045</v>
      </c>
      <c r="D59">
        <v>19237</v>
      </c>
      <c r="E59">
        <v>14617</v>
      </c>
      <c r="F59">
        <v>10296</v>
      </c>
      <c r="G59">
        <v>10467</v>
      </c>
      <c r="H59">
        <v>10567</v>
      </c>
      <c r="I59">
        <v>1128</v>
      </c>
      <c r="J59">
        <v>3229</v>
      </c>
    </row>
    <row r="60" spans="2:15" x14ac:dyDescent="0.25">
      <c r="B60">
        <v>49131</v>
      </c>
      <c r="C60">
        <v>19261</v>
      </c>
      <c r="D60">
        <v>19142</v>
      </c>
      <c r="E60">
        <v>14758</v>
      </c>
      <c r="F60">
        <v>10436</v>
      </c>
      <c r="G60">
        <v>10280</v>
      </c>
      <c r="H60">
        <v>10552</v>
      </c>
      <c r="I60">
        <v>1129</v>
      </c>
      <c r="J60">
        <v>3214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Unlicensed version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2014-12-06T06:36:00Z</dcterms:modified>
</cp:coreProperties>
</file>