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sheet3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4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sheet5.xml" ContentType="application/vnd.openxmlformats-officedocument.spreadsheetml.worksheet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sheets/sheet6.xml" ContentType="application/vnd.openxmlformats-officedocument.spreadsheetml.worksheet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7.xml" ContentType="application/vnd.openxmlformats-officedocument.spreadsheetml.worksheet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sheet8.xml" ContentType="application/vnd.openxmlformats-officedocument.spreadsheetml.worksheet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sheet9.xml" ContentType="application/vnd.openxmlformats-officedocument.spreadsheetml.worksheet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sheets/sheet10.xml" ContentType="application/vnd.openxmlformats-officedocument.spreadsheetml.worksheet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sheet11.xml" ContentType="application/vnd.openxmlformats-officedocument.spreadsheetml.worksheet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sheets/sheet12.xml" ContentType="application/vnd.openxmlformats-officedocument.spreadsheetml.worksheet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3.xml" ContentType="application/vnd.openxmlformats-officedocument.spreadsheetml.worksheet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sheets/sheet14.xml" ContentType="application/vnd.openxmlformats-officedocument.spreadsheetml.worksheet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5.xml" ContentType="application/vnd.openxmlformats-officedocument.spreadsheetml.worksheet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sheets/sheet18.xml" ContentType="application/vnd.openxmlformats-officedocument.spreadsheetml.worksheet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sheets/sheet19.xml" ContentType="application/vnd.openxmlformats-officedocument.spreadsheetml.worksheet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20.xml" ContentType="application/vnd.openxmlformats-officedocument.spreadsheetml.worksheet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sheets/sheet2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Unlicensed version" sheetId="21" r:id="Rc1c1e74f333f485f"/>
    <sheet name="Sheet1" sheetId="1" r:id="rId1"/>
    <sheet name="Sheet2" sheetId="2" r:id="Rfea099eea7af4cc9"/>
    <sheet name="Sheet3" sheetId="3" r:id="R33d1b15c57134c14"/>
    <sheet name="Sheet4" sheetId="4" r:id="R7c3103aafa8f456a"/>
    <sheet name="Sheet5" sheetId="5" r:id="R1886856d39ee4edb"/>
    <sheet name="Sheet6" sheetId="6" r:id="Rc6e019d37bda4e10"/>
    <sheet name="Sheet7" sheetId="7" r:id="R9c2da2d8fac049b5"/>
    <sheet name="Sheet8" sheetId="8" r:id="Rb6824199454b46f8"/>
    <sheet name="Sheet9" sheetId="9" r:id="R0e1fa89a70cd44f2"/>
    <sheet name="Sheet10" sheetId="10" r:id="R6aa06b7619e04471"/>
    <sheet name="Sheet11" sheetId="11" r:id="R1b9d41c926ab4786"/>
    <sheet name="Sheet12" sheetId="12" r:id="R7c2888d6466e48ff"/>
    <sheet name="Sheet13" sheetId="13" r:id="R7b4e595754bb4328"/>
    <sheet name="Sheet14" sheetId="14" r:id="R9730389412f14874"/>
    <sheet name="Sheet15" sheetId="15" r:id="R4b784e71d4b44b50"/>
    <sheet name="Sheet16" sheetId="16" r:id="R9e6d9d22a8c64fab"/>
    <sheet name="Sheet17" sheetId="17" r:id="R2f4cad45a7f44cbe"/>
    <sheet name="Sheet18" sheetId="18" r:id="R5653b8ff72fd4bf9"/>
    <sheet name="Sheet19" sheetId="19" r:id="R9dc1373e4a204439"/>
    <sheet name="Sheet20" sheetId="20" r:id="Rafa8292bfb4342cd"/>
  </sheets>
  <calcPr calcId="145621" fullCalcOnLoad="1"/>
</workbook>
</file>

<file path=xl/calcChain.xml><?xml version="1.0" encoding="utf-8"?>
<calcChain xmlns="http://schemas.openxmlformats.org/spreadsheetml/2006/main">
  <c r="K38" i="1" l="1"/>
  <c r="J38" i="1"/>
  <c r="H41" i="1" l="1"/>
  <c r="H46" i="1" l="1"/>
  <c r="G46" i="1"/>
  <c r="E46" i="1"/>
  <c r="D46" i="1"/>
  <c r="D47" i="1"/>
  <c r="E47" i="1"/>
  <c r="F47" i="1"/>
  <c r="G47" i="1"/>
  <c r="H47" i="1"/>
  <c r="I47" i="1"/>
  <c r="C47" i="1"/>
  <c r="H38" i="1" l="1"/>
  <c r="G38" i="1"/>
  <c r="F38" i="1"/>
  <c r="E38" i="1"/>
  <c r="D38" i="1"/>
  <c r="I41" i="1"/>
  <c r="G41" i="1"/>
  <c r="F41" i="1"/>
  <c r="E41" i="1"/>
  <c r="D41" i="1"/>
  <c r="D40" i="1"/>
  <c r="E40" i="1"/>
  <c r="F40" i="1"/>
  <c r="G40" i="1"/>
  <c r="H40" i="1"/>
  <c r="I40" i="1"/>
  <c r="C40" i="1"/>
  <c r="G39" i="1" l="1"/>
  <c r="F39" i="1"/>
  <c r="H39" i="1"/>
  <c r="C41" i="1"/>
  <c r="F46" i="1" l="1"/>
  <c r="I46" i="1"/>
  <c r="C46" i="1"/>
  <c r="I38" i="1"/>
  <c r="C38" i="1"/>
  <c r="I39" i="1" l="1"/>
  <c r="E39" i="1"/>
  <c r="D39" i="1"/>
  <c r="C39" i="1"/>
</calcChain>
</file>

<file path=xl/sharedStrings.xml><?xml version="1.0" encoding="utf-8"?>
<sst xmlns="http://schemas.openxmlformats.org/spreadsheetml/2006/main" count="76" uniqueCount="76">
  <si>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</si>
  <si>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</si>
  <si>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</si>
  <si>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</si>
  <si>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</si>
  <si>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</si>
  <si>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</si>
  <si>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</si>
  <si>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Size</t>
  </si>
  <si>
    <t>Newtonsoft (duration)</t>
  </si>
  <si>
    <t>Newtonsoft (size)</t>
  </si>
  <si>
    <t>Protobuf.NET</t>
  </si>
  <si>
    <t>Jackson</t>
  </si>
  <si>
    <t>JVM baked full</t>
  </si>
  <si>
    <t>JVM baked minimal</t>
  </si>
  <si>
    <t>.Net baked full</t>
  </si>
  <si>
    <t>.Net baked minimal</t>
  </si>
  <si>
    <t>.NET baked full (duration)</t>
  </si>
  <si>
    <t>.NET baked full (size)</t>
  </si>
  <si>
    <t>.NET baked minimal (duration)</t>
  </si>
  <si>
    <t>.NET baked minimal (size)</t>
  </si>
  <si>
    <t>Jackson (duration)</t>
  </si>
  <si>
    <t>Jackson (size)</t>
  </si>
  <si>
    <t>JVM baked full (duration)</t>
  </si>
  <si>
    <t>JVM baked full (size)</t>
  </si>
  <si>
    <t>JVM baked minimal (duration)</t>
  </si>
  <si>
    <t>Protobuf.NET (size)</t>
  </si>
  <si>
    <t>Protobuf.NET (duration)</t>
  </si>
  <si>
    <t>[[serialization.NewtonsoftJson.Duration]]</t>
  </si>
  <si>
    <t>[[serialization.NewtonsoftJson.Size]]</t>
  </si>
  <si>
    <t>[[serialization.Jackson.Duration]]</t>
  </si>
  <si>
    <t>[[serialization.Jackson.Size]]</t>
  </si>
  <si>
    <t>JVM baked minimal (size)</t>
  </si>
  <si>
    <t>[[serialization.Protobuf.Duration]]</t>
  </si>
  <si>
    <t>[[serialization.Protobuf.Size]]</t>
  </si>
  <si>
    <t>[[both.NewtonsoftJson.Duration]]</t>
  </si>
  <si>
    <t>[[both.NetBakedInFull.Duration]]</t>
  </si>
  <si>
    <t>[[both.NetBakedInMinimal.Duration]]</t>
  </si>
  <si>
    <t>[[both.Jackson.Duration]]</t>
  </si>
  <si>
    <t>[[both.JvmBakedInFull.Duration]]</t>
  </si>
  <si>
    <t>[[both.JvmBakedInMinimal.Duration]]</t>
  </si>
  <si>
    <t>[[both.Protobuf.Duration]]</t>
  </si>
  <si>
    <t>[[serialization.NetBakedInFull.Duration]]</t>
  </si>
  <si>
    <t>[[serialization.NetBakedInFull.Size]]</t>
  </si>
  <si>
    <t>[[serialization.NetBakedInMinimal.Duration]]</t>
  </si>
  <si>
    <t>[[serialization.NetBakedInMinimal.Size]]</t>
  </si>
  <si>
    <t>[[serialization.JvmBakedInFull.Duration]]</t>
  </si>
  <si>
    <t>[[serialization.JvmBakedInFull.Size]]</t>
  </si>
  <si>
    <t>[[serialization.JvmBakedInMinimal.Duration]]</t>
  </si>
  <si>
    <t>[[serialization.JvmBakedInMinimal.Size]]</t>
  </si>
  <si>
    <t>[[description]:clone]</t>
  </si>
  <si>
    <t>.NET (instance only)</t>
  </si>
  <si>
    <t>JVM (instance only)</t>
  </si>
  <si>
    <t>[[both.Net]]</t>
  </si>
  <si>
    <t>[[both.Jvm]]</t>
  </si>
  <si>
    <t>Startup times: SmallObject.Message</t>
  </si>
  <si>
    <t>Startup times: LargeObjects.Book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</si>
  <si>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</si>
  <si>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</si>
  <si>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</si>
  <si>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</si>
  <si>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</si>
  <si>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</si>
  <si>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</si>
  <si>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</si>
  <si>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</si>
  <si>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</si>
  <si>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</si>
  <si>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</si>
  <si>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</si>
  <si>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</si>
  <si>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</si>
  <si>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</si>
  <si>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</si>
  <si>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>10.000 LargeObjects.Book</t>
  </si>
  <si>
    <r>
      <rPr>
        <b/>
      </rPr>
      <t>Unlicensed version. Please register @ templater.info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</si>
</sst>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6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fea099eea7af4cc9" /><Relationship Type="http://schemas.openxmlformats.org/officeDocument/2006/relationships/worksheet" Target="/xl/worksheets/sheet3.xml" Id="R33d1b15c57134c14" /><Relationship Type="http://schemas.openxmlformats.org/officeDocument/2006/relationships/worksheet" Target="/xl/worksheets/sheet4.xml" Id="R7c3103aafa8f456a" /><Relationship Type="http://schemas.openxmlformats.org/officeDocument/2006/relationships/worksheet" Target="/xl/worksheets/sheet5.xml" Id="R1886856d39ee4edb" /><Relationship Type="http://schemas.openxmlformats.org/officeDocument/2006/relationships/worksheet" Target="/xl/worksheets/sheet6.xml" Id="Rc6e019d37bda4e10" /><Relationship Type="http://schemas.openxmlformats.org/officeDocument/2006/relationships/worksheet" Target="/xl/worksheets/sheet7.xml" Id="R9c2da2d8fac049b5" /><Relationship Type="http://schemas.openxmlformats.org/officeDocument/2006/relationships/worksheet" Target="/xl/worksheets/sheet8.xml" Id="Rb6824199454b46f8" /><Relationship Type="http://schemas.openxmlformats.org/officeDocument/2006/relationships/worksheet" Target="/xl/worksheets/sheet9.xml" Id="R0e1fa89a70cd44f2" /><Relationship Type="http://schemas.openxmlformats.org/officeDocument/2006/relationships/worksheet" Target="/xl/worksheets/sheet10.xml" Id="R6aa06b7619e04471" /><Relationship Type="http://schemas.openxmlformats.org/officeDocument/2006/relationships/worksheet" Target="/xl/worksheets/sheet11.xml" Id="R1b9d41c926ab4786" /><Relationship Type="http://schemas.openxmlformats.org/officeDocument/2006/relationships/worksheet" Target="/xl/worksheets/sheet12.xml" Id="R7c2888d6466e48ff" /><Relationship Type="http://schemas.openxmlformats.org/officeDocument/2006/relationships/worksheet" Target="/xl/worksheets/sheet13.xml" Id="R7b4e595754bb4328" /><Relationship Type="http://schemas.openxmlformats.org/officeDocument/2006/relationships/worksheet" Target="/xl/worksheets/sheet14.xml" Id="R9730389412f14874" /><Relationship Type="http://schemas.openxmlformats.org/officeDocument/2006/relationships/worksheet" Target="/xl/worksheets/sheet15.xml" Id="R4b784e71d4b44b50" /><Relationship Type="http://schemas.openxmlformats.org/officeDocument/2006/relationships/worksheet" Target="/xl/worksheets/sheet16.xml" Id="R9e6d9d22a8c64fab" /><Relationship Type="http://schemas.openxmlformats.org/officeDocument/2006/relationships/worksheet" Target="/xl/worksheets/sheet17.xml" Id="R2f4cad45a7f44cbe" /><Relationship Type="http://schemas.openxmlformats.org/officeDocument/2006/relationships/worksheet" Target="/xl/worksheets/sheet18.xml" Id="R5653b8ff72fd4bf9" /><Relationship Type="http://schemas.openxmlformats.org/officeDocument/2006/relationships/worksheet" Target="/xl/worksheets/sheet19.xml" Id="R9dc1373e4a204439" /><Relationship Type="http://schemas.openxmlformats.org/officeDocument/2006/relationships/worksheet" Target="/xl/worksheets/sheet20.xml" Id="Rafa8292bfb4342cd" /><Relationship Type="http://schemas.openxmlformats.org/officeDocument/2006/relationships/worksheet" Target="/xl/worksheets/sheet21.xml" Id="Rc1c1e74f333f485f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Sheet6!$C$37:$I$37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Sheet6!$C$41:$I$41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Sheet7!$C$37:$I$37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Sheet7!$C$41:$I$41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Sheet8!$C$37:$I$37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Sheet8!$C$41:$I$41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Sheet9!$C$37:$I$37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Sheet9!$C$41:$I$41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Sheet10!$B$41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Sheet10!$C$37:$I$37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Sheet10!$C$41:$I$41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Sheet10!$B$39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Sheet11!$C$37:$I$37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Sheet11!$C$41:$I$41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Sheet12!$C$37:$I$37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Sheet12!$C$41:$I$41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Sheet13!$C$37:$I$37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Sheet13!$C$41:$I$41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Sheet14!$C$37:$I$37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Sheet14!$C$41:$I$41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Sheet15!$C$37:$I$37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Sheet15!$C$41:$I$41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Sheet2!$C$37:$I$37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Sheet2!$C$41:$I$41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Sheet16!$C$37:$I$37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Sheet16!$C$41:$I$41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Sheet17!$C$37:$I$37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Sheet17!$C$41:$I$41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Sheet18!$C$37:$I$37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Sheet18!$C$41:$I$41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Sheet19!$C$37:$I$37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Sheet19!$C$41:$I$41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Sheet20!$B$41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Sheet20!$C$37:$I$37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Sheet20!$C$41:$I$41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Sheet20!$B$38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Sheet20!$C$37:$K$37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Sheet20!$C$38:$K$38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Sheet20!$B$39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Sheet20!$C$37:$K$37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Sheet20!$C$39:$K$39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Sheet3!$C$37:$I$37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Sheet3!$C$41:$I$41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Sheet4!$C$37:$I$37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Sheet4!$C$41:$I$41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Sheet5!$C$37:$I$37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Sheet5!$C$41:$I$41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&#65279;<?xml version="1.0" encoding="utf-8"?><Relationships xmlns="http://schemas.openxmlformats.org/package/2006/relationships"><Relationship Type="http://schemas.openxmlformats.org/officeDocument/2006/relationships/chart" Target="/xl/charts/chart19.xml" Id="rId2" /><Relationship Type="http://schemas.openxmlformats.org/officeDocument/2006/relationships/chart" Target="/xl/charts/chart20.xml" Id="rId1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22.xml" Id="rId1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charts/chart23.xml" Id="rId2" /><Relationship Type="http://schemas.openxmlformats.org/officeDocument/2006/relationships/chart" Target="/xl/charts/chart24.xml" Id="rId1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chart" Target="/xl/charts/chart25.xml" Id="rId2" /><Relationship Type="http://schemas.openxmlformats.org/officeDocument/2006/relationships/chart" Target="/xl/charts/chart26.xml" Id="rId1" /></Relationships>
</file>

<file path=xl/drawings/_rels/drawing14.xml.rels>&#65279;<?xml version="1.0" encoding="utf-8"?><Relationships xmlns="http://schemas.openxmlformats.org/package/2006/relationships"><Relationship Type="http://schemas.openxmlformats.org/officeDocument/2006/relationships/chart" Target="/xl/charts/chart27.xml" Id="rId2" /><Relationship Type="http://schemas.openxmlformats.org/officeDocument/2006/relationships/chart" Target="/xl/charts/chart28.xml" Id="rId1" /></Relationships>
</file>

<file path=xl/drawings/_rels/drawing15.xml.rels>&#65279;<?xml version="1.0" encoding="utf-8"?><Relationships xmlns="http://schemas.openxmlformats.org/package/2006/relationships"><Relationship Type="http://schemas.openxmlformats.org/officeDocument/2006/relationships/chart" Target="/xl/charts/chart29.xml" Id="rId2" /><Relationship Type="http://schemas.openxmlformats.org/officeDocument/2006/relationships/chart" Target="/xl/charts/chart30.xml" Id="rId1" /></Relationships>
</file>

<file path=xl/drawings/_rels/drawing16.xml.rels>&#65279;<?xml version="1.0" encoding="utf-8"?><Relationships xmlns="http://schemas.openxmlformats.org/package/2006/relationships"><Relationship Type="http://schemas.openxmlformats.org/officeDocument/2006/relationships/chart" Target="/xl/charts/chart31.xml" Id="rId2" /><Relationship Type="http://schemas.openxmlformats.org/officeDocument/2006/relationships/chart" Target="/xl/charts/chart32.xml" Id="rId1" /></Relationships>
</file>

<file path=xl/drawings/_rels/drawing17.xml.rels>&#65279;<?xml version="1.0" encoding="utf-8"?><Relationships xmlns="http://schemas.openxmlformats.org/package/2006/relationships"><Relationship Type="http://schemas.openxmlformats.org/officeDocument/2006/relationships/chart" Target="/xl/charts/chart33.xml" Id="rId2" /><Relationship Type="http://schemas.openxmlformats.org/officeDocument/2006/relationships/chart" Target="/xl/charts/chart34.xml" Id="rId1" /></Relationships>
</file>

<file path=xl/drawings/_rels/drawing18.xml.rels>&#65279;<?xml version="1.0" encoding="utf-8"?><Relationships xmlns="http://schemas.openxmlformats.org/package/2006/relationships"><Relationship Type="http://schemas.openxmlformats.org/officeDocument/2006/relationships/chart" Target="/xl/charts/chart35.xml" Id="rId2" /><Relationship Type="http://schemas.openxmlformats.org/officeDocument/2006/relationships/chart" Target="/xl/charts/chart36.xml" Id="rId1" /></Relationships>
</file>

<file path=xl/drawings/_rels/drawing19.xml.rels>&#65279;<?xml version="1.0" encoding="utf-8"?><Relationships xmlns="http://schemas.openxmlformats.org/package/2006/relationships"><Relationship Type="http://schemas.openxmlformats.org/officeDocument/2006/relationships/chart" Target="/xl/charts/chart37.xml" Id="rId2" /><Relationship Type="http://schemas.openxmlformats.org/officeDocument/2006/relationships/chart" Target="/xl/charts/chart38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3.xml" Id="rId2" /><Relationship Type="http://schemas.openxmlformats.org/officeDocument/2006/relationships/chart" Target="/xl/charts/chart4.xml" Id="rId1" /></Relationships>
</file>

<file path=xl/drawings/_rels/drawing20.xml.rels>&#65279;<?xml version="1.0" encoding="utf-8"?><Relationships xmlns="http://schemas.openxmlformats.org/package/2006/relationships"><Relationship Type="http://schemas.openxmlformats.org/officeDocument/2006/relationships/chart" Target="/xl/charts/chart39.xml" Id="rId2" /><Relationship Type="http://schemas.openxmlformats.org/officeDocument/2006/relationships/chart" Target="/xl/charts/chart40.xml" Id="rId1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charts/chart5.xml" Id="rId2" /><Relationship Type="http://schemas.openxmlformats.org/officeDocument/2006/relationships/chart" Target="/xl/charts/chart6.xml" Id="rId1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charts/chart7.xml" Id="rId2" /><Relationship Type="http://schemas.openxmlformats.org/officeDocument/2006/relationships/chart" Target="/xl/charts/chart8.xml" Id="rId1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charts/chart9.xml" Id="rId2" /><Relationship Type="http://schemas.openxmlformats.org/officeDocument/2006/relationships/chart" Target="/xl/charts/chart10.xml" Id="rId1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chart" Target="/xl/charts/chart11.xml" Id="rId2" /><Relationship Type="http://schemas.openxmlformats.org/officeDocument/2006/relationships/chart" Target="/xl/charts/chart12.xml" Id="rId1" /></Relationships>
</file>

<file path=xl/drawings/_rels/drawing7.xml.rels>&#65279;<?xml version="1.0" encoding="utf-8"?><Relationships xmlns="http://schemas.openxmlformats.org/package/2006/relationships"><Relationship Type="http://schemas.openxmlformats.org/officeDocument/2006/relationships/chart" Target="/xl/charts/chart13.xml" Id="rId2" /><Relationship Type="http://schemas.openxmlformats.org/officeDocument/2006/relationships/chart" Target="/xl/charts/chart14.xml" Id="rId1" /></Relationships>
</file>

<file path=xl/drawings/_rels/drawing8.xml.rels>&#65279;<?xml version="1.0" encoding="utf-8"?><Relationships xmlns="http://schemas.openxmlformats.org/package/2006/relationships"><Relationship Type="http://schemas.openxmlformats.org/officeDocument/2006/relationships/chart" Target="/xl/charts/chart15.xml" Id="rId2" /><Relationship Type="http://schemas.openxmlformats.org/officeDocument/2006/relationships/chart" Target="/xl/charts/chart16.xml" Id="rId1" /></Relationships>
</file>

<file path=xl/drawings/_rels/drawing9.xml.rels>&#65279;<?xml version="1.0" encoding="utf-8"?><Relationships xmlns="http://schemas.openxmlformats.org/package/2006/relationships"><Relationship Type="http://schemas.openxmlformats.org/officeDocument/2006/relationships/chart" Target="/xl/charts/chart17.xml" Id="rId2" /><Relationship Type="http://schemas.openxmlformats.org/officeDocument/2006/relationships/chart" Target="/xl/charts/chart18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Table16" displayName="Table16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Table17" displayName="Table17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8" name="Table18" displayName="Table18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9" displayName="Table19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20" displayName="Table20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1" name="Table21" displayName="Table2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2" name="Table22" displayName="Table2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3" name="Table23" displayName="Table23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4" name="Table24" displayName="Table24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6" name="Table26" displayName="Table26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7" name="Table27" displayName="Table27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8" name="Table28" displayName="Table28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Table29" displayName="Table29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0" name="Table30" displayName="Table30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1" name="Table31" displayName="Table31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2" name="Table32" displayName="Table32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5" displayName="Table35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6" displayName="Table36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7" name="Table37" displayName="Table37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8" name="Table38" displayName="Table38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9" name="Table39" displayName="Table39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0" name="Table40" displayName="Table40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1" name="Table41" displayName="Table4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2" name="Table42" displayName="Table4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43" name="Table43" displayName="Table43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4" name="Table44" displayName="Table44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5" name="Table45" displayName="Table45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6" name="Table46" displayName="Table46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7" name="Table47" displayName="Table47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8" name="Table48" displayName="Table48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9" name="Table49" displayName="Table49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0" name="Table50" displayName="Table50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1" name="Table51" displayName="Table51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2" name="Table52" displayName="Table52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53" name="Table53" displayName="Table53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4" name="Table54" displayName="Table54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5" name="Table55" displayName="Table55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6" name="Table56" displayName="Table56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7" name="Table57" displayName="Table57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8" name="Table58" displayName="Table58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9" name="Table59" displayName="Table59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0" name="Table60" displayName="Table60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1" name="Table61" displayName="Table6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2" name="Table62" displayName="Table6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63" name="Table63" displayName="Table63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4" name="Table64" displayName="Table64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5" name="Table65" displayName="Table65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6" name="Table66" displayName="Table66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7" name="Table67" displayName="Table67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68" name="Table68" displayName="Table68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9" name="Table69" displayName="Table69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0" name="Table70" displayName="Table70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1" name="Table71" displayName="Table71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2" name="Table72" displayName="Table72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73" name="Table73" displayName="Table73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4" name="Table74" displayName="Table74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5" name="Table75" displayName="Table75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6" name="Table76" displayName="Table76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7" name="Table77" displayName="Table77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8" name="Table78" displayName="Table78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9" name="Table79" displayName="Table79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0" name="Table80" displayName="Table80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1" name="Table81" displayName="Table8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2" name="Table82" displayName="Table8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83" name="Table83" displayName="Table83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4" name="Table84" displayName="Table84" ref="B64:J74">
  <autoFilter ref="B64:J74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5" name="Table85" displayName="Table85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Table14" displayName="Table14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6" name="Table86" displayName="Table86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B51:O61">
  <autoFilter ref="B51:O61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37.xml" Id="rId3" /><Relationship Type="http://schemas.openxmlformats.org/officeDocument/2006/relationships/table" Target="/xl/tables/table38.xml" Id="rId6" /><Relationship Type="http://schemas.openxmlformats.org/officeDocument/2006/relationships/table" Target="/xl/tables/table39.xml" Id="rId5" /><Relationship Type="http://schemas.openxmlformats.org/officeDocument/2006/relationships/table" Target="/xl/tables/table40.xml" Id="rId4" /><Relationship Type="http://schemas.openxmlformats.org/officeDocument/2006/relationships/drawing" Target="/xl/drawings/drawing10.x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41.xml" Id="rId3" /><Relationship Type="http://schemas.openxmlformats.org/officeDocument/2006/relationships/table" Target="/xl/tables/table42.xml" Id="rId6" /><Relationship Type="http://schemas.openxmlformats.org/officeDocument/2006/relationships/table" Target="/xl/tables/table43.xml" Id="rId5" /><Relationship Type="http://schemas.openxmlformats.org/officeDocument/2006/relationships/table" Target="/xl/tables/table44.xml" Id="rId4" /><Relationship Type="http://schemas.openxmlformats.org/officeDocument/2006/relationships/drawing" Target="/xl/drawings/drawing11.x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45.xml" Id="rId3" /><Relationship Type="http://schemas.openxmlformats.org/officeDocument/2006/relationships/table" Target="/xl/tables/table46.xml" Id="rId6" /><Relationship Type="http://schemas.openxmlformats.org/officeDocument/2006/relationships/table" Target="/xl/tables/table47.xml" Id="rId5" /><Relationship Type="http://schemas.openxmlformats.org/officeDocument/2006/relationships/table" Target="/xl/tables/table48.xml" Id="rId4" /><Relationship Type="http://schemas.openxmlformats.org/officeDocument/2006/relationships/drawing" Target="/xl/drawings/drawing12.x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49.xml" Id="rId3" /><Relationship Type="http://schemas.openxmlformats.org/officeDocument/2006/relationships/table" Target="/xl/tables/table50.xml" Id="rId6" /><Relationship Type="http://schemas.openxmlformats.org/officeDocument/2006/relationships/table" Target="/xl/tables/table51.xml" Id="rId5" /><Relationship Type="http://schemas.openxmlformats.org/officeDocument/2006/relationships/table" Target="/xl/tables/table52.xml" Id="rId4" /><Relationship Type="http://schemas.openxmlformats.org/officeDocument/2006/relationships/drawing" Target="/xl/drawings/drawing13.xml" Id="rId2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53.xml" Id="rId3" /><Relationship Type="http://schemas.openxmlformats.org/officeDocument/2006/relationships/table" Target="/xl/tables/table54.xml" Id="rId6" /><Relationship Type="http://schemas.openxmlformats.org/officeDocument/2006/relationships/table" Target="/xl/tables/table55.xml" Id="rId5" /><Relationship Type="http://schemas.openxmlformats.org/officeDocument/2006/relationships/table" Target="/xl/tables/table56.xml" Id="rId4" /><Relationship Type="http://schemas.openxmlformats.org/officeDocument/2006/relationships/drawing" Target="/xl/drawings/drawing14.xml" Id="rId2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57.xml" Id="rId3" /><Relationship Type="http://schemas.openxmlformats.org/officeDocument/2006/relationships/table" Target="/xl/tables/table58.xml" Id="rId6" /><Relationship Type="http://schemas.openxmlformats.org/officeDocument/2006/relationships/table" Target="/xl/tables/table59.xml" Id="rId5" /><Relationship Type="http://schemas.openxmlformats.org/officeDocument/2006/relationships/table" Target="/xl/tables/table60.xml" Id="rId4" /><Relationship Type="http://schemas.openxmlformats.org/officeDocument/2006/relationships/drawing" Target="/xl/drawings/drawing15.xml" Id="rId2" /></Relationships>
</file>

<file path=xl/worksheets/_rels/sheet1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61.xml" Id="rId3" /><Relationship Type="http://schemas.openxmlformats.org/officeDocument/2006/relationships/table" Target="/xl/tables/table62.xml" Id="rId6" /><Relationship Type="http://schemas.openxmlformats.org/officeDocument/2006/relationships/table" Target="/xl/tables/table63.xml" Id="rId5" /><Relationship Type="http://schemas.openxmlformats.org/officeDocument/2006/relationships/table" Target="/xl/tables/table64.xml" Id="rId4" /><Relationship Type="http://schemas.openxmlformats.org/officeDocument/2006/relationships/drawing" Target="/xl/drawings/drawing16.xml" Id="rId2" /></Relationships>
</file>

<file path=xl/worksheets/_rels/sheet1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65.xml" Id="rId3" /><Relationship Type="http://schemas.openxmlformats.org/officeDocument/2006/relationships/table" Target="/xl/tables/table66.xml" Id="rId6" /><Relationship Type="http://schemas.openxmlformats.org/officeDocument/2006/relationships/table" Target="/xl/tables/table67.xml" Id="rId5" /><Relationship Type="http://schemas.openxmlformats.org/officeDocument/2006/relationships/table" Target="/xl/tables/table68.xml" Id="rId4" /><Relationship Type="http://schemas.openxmlformats.org/officeDocument/2006/relationships/drawing" Target="/xl/drawings/drawing17.xml" Id="rId2" /></Relationships>
</file>

<file path=xl/worksheets/_rels/sheet1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69.xml" Id="rId3" /><Relationship Type="http://schemas.openxmlformats.org/officeDocument/2006/relationships/table" Target="/xl/tables/table70.xml" Id="rId6" /><Relationship Type="http://schemas.openxmlformats.org/officeDocument/2006/relationships/table" Target="/xl/tables/table71.xml" Id="rId5" /><Relationship Type="http://schemas.openxmlformats.org/officeDocument/2006/relationships/table" Target="/xl/tables/table72.xml" Id="rId4" /><Relationship Type="http://schemas.openxmlformats.org/officeDocument/2006/relationships/drawing" Target="/xl/drawings/drawing18.xml" Id="rId2" /></Relationships>
</file>

<file path=xl/worksheets/_rels/sheet1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73.xml" Id="rId3" /><Relationship Type="http://schemas.openxmlformats.org/officeDocument/2006/relationships/table" Target="/xl/tables/table74.xml" Id="rId6" /><Relationship Type="http://schemas.openxmlformats.org/officeDocument/2006/relationships/table" Target="/xl/tables/table75.xml" Id="rId5" /><Relationship Type="http://schemas.openxmlformats.org/officeDocument/2006/relationships/table" Target="/xl/tables/table76.xml" Id="rId4" /><Relationship Type="http://schemas.openxmlformats.org/officeDocument/2006/relationships/drawing" Target="/xl/drawings/drawing19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5.xml" Id="rId3" /><Relationship Type="http://schemas.openxmlformats.org/officeDocument/2006/relationships/table" Target="/xl/tables/table6.xml" Id="rId6" /><Relationship Type="http://schemas.openxmlformats.org/officeDocument/2006/relationships/table" Target="/xl/tables/table7.xml" Id="rId5" /><Relationship Type="http://schemas.openxmlformats.org/officeDocument/2006/relationships/table" Target="/xl/tables/table8.xml" Id="rId4" /><Relationship Type="http://schemas.openxmlformats.org/officeDocument/2006/relationships/drawing" Target="/xl/drawings/drawing2.xml" Id="rId2" /></Relationships>
</file>

<file path=xl/worksheets/_rels/sheet2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77.xml" Id="rId3" /><Relationship Type="http://schemas.openxmlformats.org/officeDocument/2006/relationships/table" Target="/xl/tables/table78.xml" Id="rId6" /><Relationship Type="http://schemas.openxmlformats.org/officeDocument/2006/relationships/table" Target="/xl/tables/table79.xml" Id="rId5" /><Relationship Type="http://schemas.openxmlformats.org/officeDocument/2006/relationships/table" Target="/xl/tables/table80.xml" Id="rId4" /><Relationship Type="http://schemas.openxmlformats.org/officeDocument/2006/relationships/drawing" Target="/xl/drawings/drawing20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9.xml" Id="rId3" /><Relationship Type="http://schemas.openxmlformats.org/officeDocument/2006/relationships/table" Target="/xl/tables/table10.xml" Id="rId6" /><Relationship Type="http://schemas.openxmlformats.org/officeDocument/2006/relationships/table" Target="/xl/tables/table11.xml" Id="rId5" /><Relationship Type="http://schemas.openxmlformats.org/officeDocument/2006/relationships/table" Target="/xl/tables/table12.xml" Id="rId4" /><Relationship Type="http://schemas.openxmlformats.org/officeDocument/2006/relationships/drawing" Target="/xl/drawings/drawing3.x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13.xml" Id="rId3" /><Relationship Type="http://schemas.openxmlformats.org/officeDocument/2006/relationships/table" Target="/xl/tables/table14.xml" Id="rId6" /><Relationship Type="http://schemas.openxmlformats.org/officeDocument/2006/relationships/table" Target="/xl/tables/table15.xml" Id="rId5" /><Relationship Type="http://schemas.openxmlformats.org/officeDocument/2006/relationships/table" Target="/xl/tables/table16.xml" Id="rId4" /><Relationship Type="http://schemas.openxmlformats.org/officeDocument/2006/relationships/drawing" Target="/xl/drawings/drawing4.x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17.xml" Id="rId3" /><Relationship Type="http://schemas.openxmlformats.org/officeDocument/2006/relationships/table" Target="/xl/tables/table18.xml" Id="rId6" /><Relationship Type="http://schemas.openxmlformats.org/officeDocument/2006/relationships/table" Target="/xl/tables/table19.xml" Id="rId5" /><Relationship Type="http://schemas.openxmlformats.org/officeDocument/2006/relationships/table" Target="/xl/tables/table20.xml" Id="rId4" /><Relationship Type="http://schemas.openxmlformats.org/officeDocument/2006/relationships/drawing" Target="/xl/drawings/drawing5.x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1.xml" Id="rId3" /><Relationship Type="http://schemas.openxmlformats.org/officeDocument/2006/relationships/table" Target="/xl/tables/table22.xml" Id="rId6" /><Relationship Type="http://schemas.openxmlformats.org/officeDocument/2006/relationships/table" Target="/xl/tables/table23.xml" Id="rId5" /><Relationship Type="http://schemas.openxmlformats.org/officeDocument/2006/relationships/table" Target="/xl/tables/table24.xml" Id="rId4" /><Relationship Type="http://schemas.openxmlformats.org/officeDocument/2006/relationships/drawing" Target="/xl/drawings/drawing6.x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5.xml" Id="rId3" /><Relationship Type="http://schemas.openxmlformats.org/officeDocument/2006/relationships/table" Target="/xl/tables/table26.xml" Id="rId6" /><Relationship Type="http://schemas.openxmlformats.org/officeDocument/2006/relationships/table" Target="/xl/tables/table27.xml" Id="rId5" /><Relationship Type="http://schemas.openxmlformats.org/officeDocument/2006/relationships/table" Target="/xl/tables/table28.xml" Id="rId4" /><Relationship Type="http://schemas.openxmlformats.org/officeDocument/2006/relationships/drawing" Target="/xl/drawings/drawing7.x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9.xml" Id="rId3" /><Relationship Type="http://schemas.openxmlformats.org/officeDocument/2006/relationships/table" Target="/xl/tables/table30.xml" Id="rId6" /><Relationship Type="http://schemas.openxmlformats.org/officeDocument/2006/relationships/table" Target="/xl/tables/table31.xml" Id="rId5" /><Relationship Type="http://schemas.openxmlformats.org/officeDocument/2006/relationships/table" Target="/xl/tables/table32.xml" Id="rId4" /><Relationship Type="http://schemas.openxmlformats.org/officeDocument/2006/relationships/drawing" Target="/xl/drawings/drawing8.x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33.xml" Id="rId3" /><Relationship Type="http://schemas.openxmlformats.org/officeDocument/2006/relationships/table" Target="/xl/tables/table34.xml" Id="rId6" /><Relationship Type="http://schemas.openxmlformats.org/officeDocument/2006/relationships/table" Target="/xl/tables/table35.xml" Id="rId5" /><Relationship Type="http://schemas.openxmlformats.org/officeDocument/2006/relationships/table" Target="/xl/tables/table36.xml" Id="rId4" /><Relationship Type="http://schemas.openxmlformats.org/officeDocument/2006/relationships/drawing" Target="/xl/drawings/drawing9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55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AVERAGE(Serialization[Newtonsoft (duration)])</f>
      </c>
      <c r="D38" s="2" t="e">
        <f>AVERAGE(Serialization[.NET baked full (duration)])</f>
      </c>
      <c r="E38" s="2" t="e">
        <f>AVERAGE(Serialization[.NET baked minimal (duration)])</f>
      </c>
      <c r="F38" s="2" t="e">
        <f>AVERAGE(Serialization[Jackson (duration)])</f>
      </c>
      <c r="G38" s="2" t="e">
        <f>AVERAGE(Serialization[JVM baked full (duration)])</f>
      </c>
      <c r="H38" s="2" t="e">
        <f>AVERAGE(Serialization[JVM baked minimal (duration)])</f>
      </c>
      <c r="I38" s="2" t="e">
        <f>AVERAGE(Serialization[Protobuf.NET (duration)])</f>
      </c>
      <c r="J38" s="2" t="e">
        <f>AVERAGE(Both[.NET (instance only)])</f>
      </c>
      <c r="K38" s="2" t="e">
        <f>AVERAGE(Both[JVM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AVERAGE(Both[Newtonsoft (duration)])</f>
      </c>
      <c r="D40" s="2" t="e">
        <f>AVERAGE(Both[.NET baked full (duration)])</f>
      </c>
      <c r="E40" s="2" t="e">
        <f>AVERAGE(Both[.NET baked minimal (duration)])</f>
      </c>
      <c r="F40" s="2" t="e">
        <f>AVERAGE(Both[Jackson (duration)])</f>
      </c>
      <c r="G40" s="2" t="e">
        <f>AVERAGE(Both[JVM baked full (duration)])</f>
      </c>
      <c r="H40" s="2" t="e">
        <f>AVERAGE(Both[JVM baked minimal (duration)])</f>
      </c>
      <c r="I40" s="2" t="e">
        <f>AVERAGE(Both[Protobuf.NET (duration)])</f>
      </c>
      <c r="J40" s="2"/>
      <c r="K40" s="2"/>
    </row>
    <row r="41" spans="2:11" x14ac:dyDescent="0.25">
      <c r="B41" t="s">
        <v>8</v>
      </c>
      <c r="C41" s="3" t="e">
        <f>AVERAGE(Serialization[Newtonsoft (size)])</f>
      </c>
      <c r="D41" s="3" t="e">
        <f>AVERAGE(Serialization[.NET baked full (size)])</f>
      </c>
      <c r="E41" s="3" t="e">
        <f>AVERAGE(Serialization[.NET baked minimal (size)])</f>
      </c>
      <c r="F41" s="3" t="e">
        <f>AVERAGE(Serialization[Jackson (size)])</f>
      </c>
      <c r="G41" s="3" t="e">
        <f>AVERAGE(Serialization[JVM baked full (size)])</f>
      </c>
      <c r="H41" s="3" t="e">
        <f>AVERAGE(Serialization[JVM baked minimal (size)])</f>
      </c>
      <c r="I41" s="3" t="e">
        <f>AVERAGE(Serialization[Protobuf.NET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DEVSQ(Serialization[Newtonsoft (duration)])</f>
      </c>
      <c r="D46" s="2" t="e">
        <f>DEVSQ(Serialization[.NET baked full (duration)])</f>
      </c>
      <c r="E46" s="2" t="e">
        <f>DEVSQ(Serialization[.NET baked minimal (duration)])</f>
      </c>
      <c r="F46" s="2" t="e">
        <f>DEVSQ(Serialization[Jackson (duration)])</f>
      </c>
      <c r="G46" s="2" t="e">
        <f>DEVSQ(Serialization[JVM baked full (duration)])</f>
      </c>
      <c r="H46" s="2" t="e">
        <f>DEVSQ(Serialization[JVM baked minimal (duration)])</f>
      </c>
      <c r="I46" s="2" t="e">
        <f>DEVSQ(Serialization[Protobuf.NET (duration)])</f>
      </c>
    </row>
    <row r="47" spans="2:11" x14ac:dyDescent="0.25">
      <c r="B47" t="s">
        <v>1</v>
      </c>
      <c r="C47" s="2" t="e">
        <f>DEVSQ(Both[Newtonsoft (duration)])</f>
      </c>
      <c r="D47" s="2" t="e">
        <f>DEVSQ(Both[.NET baked full (duration)])</f>
      </c>
      <c r="E47" s="2" t="e">
        <f>DEVSQ(Both[.NET baked minimal (duration)])</f>
      </c>
      <c r="F47" s="2" t="e">
        <f>DEVSQ(Both[Jackson (duration)])</f>
      </c>
      <c r="G47" s="2" t="e">
        <f>DEVSQ(Both[JVM baked full (duration)])</f>
      </c>
      <c r="H47" s="2" t="e">
        <f>DEVSQ(Both[JVM baked minimal (duration)])</f>
      </c>
      <c r="I47" s="2" t="e">
        <f>DEVSQ(Both[Protobuf.NET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110</v>
      </c>
      <c r="C52">
        <v>28</v>
      </c>
      <c r="D52">
        <v>4</v>
      </c>
      <c r="E52">
        <v>40</v>
      </c>
      <c r="F52">
        <v>4</v>
      </c>
      <c r="G52">
        <v>28</v>
      </c>
      <c r="H52">
        <v>47</v>
      </c>
      <c r="I52">
        <v>40</v>
      </c>
      <c r="J52">
        <v>0</v>
      </c>
      <c r="K52">
        <v>40</v>
      </c>
      <c r="L52">
        <v>0</v>
      </c>
      <c r="M52">
        <v>28</v>
      </c>
      <c r="N52">
        <v>48</v>
      </c>
      <c r="O52">
        <v>16</v>
      </c>
    </row>
    <row r="53" spans="2:15" x14ac:dyDescent="0.25">
      <c r="B53">
        <v>104</v>
      </c>
      <c r="C53">
        <v>28</v>
      </c>
      <c r="D53">
        <v>4</v>
      </c>
      <c r="E53">
        <v>40</v>
      </c>
      <c r="F53">
        <v>4</v>
      </c>
      <c r="G53">
        <v>28</v>
      </c>
      <c r="H53">
        <v>62</v>
      </c>
      <c r="I53">
        <v>40</v>
      </c>
      <c r="J53">
        <v>0</v>
      </c>
      <c r="K53">
        <v>40</v>
      </c>
      <c r="L53">
        <v>0</v>
      </c>
      <c r="M53">
        <v>28</v>
      </c>
      <c r="N53">
        <v>48</v>
      </c>
      <c r="O53">
        <v>16</v>
      </c>
    </row>
    <row r="54" spans="2:15" x14ac:dyDescent="0.25">
      <c r="B54">
        <v>105</v>
      </c>
      <c r="C54">
        <v>28</v>
      </c>
      <c r="D54">
        <v>4</v>
      </c>
      <c r="E54">
        <v>40</v>
      </c>
      <c r="F54">
        <v>4</v>
      </c>
      <c r="G54">
        <v>28</v>
      </c>
      <c r="H54">
        <v>47</v>
      </c>
      <c r="I54">
        <v>40</v>
      </c>
      <c r="J54">
        <v>0</v>
      </c>
      <c r="K54">
        <v>40</v>
      </c>
      <c r="L54">
        <v>0</v>
      </c>
      <c r="M54">
        <v>28</v>
      </c>
      <c r="N54">
        <v>48</v>
      </c>
      <c r="O54">
        <v>16</v>
      </c>
    </row>
    <row r="55" spans="2:15" x14ac:dyDescent="0.25">
      <c r="B55">
        <v>102</v>
      </c>
      <c r="C55">
        <v>28</v>
      </c>
      <c r="D55">
        <v>4</v>
      </c>
      <c r="E55">
        <v>40</v>
      </c>
      <c r="F55">
        <v>4</v>
      </c>
      <c r="G55">
        <v>28</v>
      </c>
      <c r="H55">
        <v>46</v>
      </c>
      <c r="I55">
        <v>40</v>
      </c>
      <c r="J55">
        <v>0</v>
      </c>
      <c r="K55">
        <v>40</v>
      </c>
      <c r="L55">
        <v>0</v>
      </c>
      <c r="M55">
        <v>28</v>
      </c>
      <c r="N55">
        <v>47</v>
      </c>
      <c r="O55">
        <v>16</v>
      </c>
    </row>
    <row r="56" spans="2:15" x14ac:dyDescent="0.25">
      <c r="B56">
        <v>103</v>
      </c>
      <c r="C56">
        <v>28</v>
      </c>
      <c r="D56">
        <v>4</v>
      </c>
      <c r="E56">
        <v>40</v>
      </c>
      <c r="F56">
        <v>4</v>
      </c>
      <c r="G56">
        <v>28</v>
      </c>
      <c r="H56">
        <v>47</v>
      </c>
      <c r="I56">
        <v>40</v>
      </c>
      <c r="J56">
        <v>0</v>
      </c>
      <c r="K56">
        <v>40</v>
      </c>
      <c r="L56">
        <v>0</v>
      </c>
      <c r="M56">
        <v>28</v>
      </c>
      <c r="N56">
        <v>50</v>
      </c>
      <c r="O56">
        <v>16</v>
      </c>
    </row>
    <row r="57" spans="2:15" x14ac:dyDescent="0.25">
      <c r="B57">
        <v>102</v>
      </c>
      <c r="C57">
        <v>28</v>
      </c>
      <c r="D57">
        <v>4</v>
      </c>
      <c r="E57">
        <v>40</v>
      </c>
      <c r="F57">
        <v>4</v>
      </c>
      <c r="G57">
        <v>28</v>
      </c>
      <c r="H57">
        <v>47</v>
      </c>
      <c r="I57">
        <v>40</v>
      </c>
      <c r="J57">
        <v>0</v>
      </c>
      <c r="K57">
        <v>40</v>
      </c>
      <c r="L57">
        <v>0</v>
      </c>
      <c r="M57">
        <v>28</v>
      </c>
      <c r="N57">
        <v>48</v>
      </c>
      <c r="O57">
        <v>16</v>
      </c>
    </row>
    <row r="58" spans="2:15" x14ac:dyDescent="0.25">
      <c r="B58">
        <v>105</v>
      </c>
      <c r="C58">
        <v>28</v>
      </c>
      <c r="D58">
        <v>4</v>
      </c>
      <c r="E58">
        <v>40</v>
      </c>
      <c r="F58">
        <v>4</v>
      </c>
      <c r="G58">
        <v>28</v>
      </c>
      <c r="H58">
        <v>46</v>
      </c>
      <c r="I58">
        <v>40</v>
      </c>
      <c r="J58">
        <v>0</v>
      </c>
      <c r="K58">
        <v>40</v>
      </c>
      <c r="L58">
        <v>0</v>
      </c>
      <c r="M58">
        <v>28</v>
      </c>
      <c r="N58">
        <v>50</v>
      </c>
      <c r="O58">
        <v>16</v>
      </c>
    </row>
    <row r="59" spans="2:15" x14ac:dyDescent="0.25">
      <c r="B59">
        <v>103</v>
      </c>
      <c r="C59">
        <v>28</v>
      </c>
      <c r="D59">
        <v>4</v>
      </c>
      <c r="E59">
        <v>40</v>
      </c>
      <c r="F59">
        <v>4</v>
      </c>
      <c r="G59">
        <v>28</v>
      </c>
      <c r="H59">
        <v>63</v>
      </c>
      <c r="I59">
        <v>40</v>
      </c>
      <c r="J59">
        <v>0</v>
      </c>
      <c r="K59">
        <v>40</v>
      </c>
      <c r="L59">
        <v>0</v>
      </c>
      <c r="M59">
        <v>28</v>
      </c>
      <c r="N59">
        <v>50</v>
      </c>
      <c r="O59">
        <v>16</v>
      </c>
    </row>
    <row r="60" spans="2:15" x14ac:dyDescent="0.25">
      <c r="B60">
        <v>101</v>
      </c>
      <c r="C60">
        <v>28</v>
      </c>
      <c r="D60">
        <v>4</v>
      </c>
      <c r="E60">
        <v>40</v>
      </c>
      <c r="F60">
        <v>4</v>
      </c>
      <c r="G60">
        <v>28</v>
      </c>
      <c r="H60">
        <v>47</v>
      </c>
      <c r="I60">
        <v>40</v>
      </c>
      <c r="J60">
        <v>0</v>
      </c>
      <c r="K60">
        <v>40</v>
      </c>
      <c r="L60">
        <v>0</v>
      </c>
      <c r="M60">
        <v>28</v>
      </c>
      <c r="N60">
        <v>47</v>
      </c>
      <c r="O60">
        <v>16</v>
      </c>
    </row>
    <row r="61" spans="2:15" x14ac:dyDescent="0.25">
      <c r="B61">
        <v>103</v>
      </c>
      <c r="C61">
        <v>28</v>
      </c>
      <c r="D61">
        <v>4</v>
      </c>
      <c r="E61">
        <v>40</v>
      </c>
      <c r="F61">
        <v>5</v>
      </c>
      <c r="G61">
        <v>28</v>
      </c>
      <c r="H61">
        <v>47</v>
      </c>
      <c r="I61">
        <v>40</v>
      </c>
      <c r="J61">
        <v>0</v>
      </c>
      <c r="K61">
        <v>40</v>
      </c>
      <c r="L61">
        <v>0</v>
      </c>
      <c r="M61">
        <v>28</v>
      </c>
      <c r="N61">
        <v>48</v>
      </c>
      <c r="O61">
        <v>16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138</v>
      </c>
      <c r="C65">
        <v>15</v>
      </c>
      <c r="D65">
        <v>17</v>
      </c>
      <c r="E65">
        <v>78</v>
      </c>
      <c r="F65">
        <v>0</v>
      </c>
      <c r="G65">
        <v>0</v>
      </c>
      <c r="H65">
        <v>54</v>
      </c>
      <c r="I65">
        <v>0</v>
      </c>
      <c r="J65">
        <v>0</v>
      </c>
    </row>
    <row r="66" spans="2:15" x14ac:dyDescent="0.25">
      <c r="B66">
        <v>140</v>
      </c>
      <c r="C66">
        <v>14</v>
      </c>
      <c r="D66">
        <v>15</v>
      </c>
      <c r="E66">
        <v>78</v>
      </c>
      <c r="F66">
        <v>16</v>
      </c>
      <c r="G66">
        <v>0</v>
      </c>
      <c r="H66">
        <v>54</v>
      </c>
      <c r="I66">
        <v>0</v>
      </c>
      <c r="J66">
        <v>15</v>
      </c>
    </row>
    <row r="67" spans="2:15" x14ac:dyDescent="0.25">
      <c r="B67">
        <v>139</v>
      </c>
      <c r="C67">
        <v>15</v>
      </c>
      <c r="D67">
        <v>15</v>
      </c>
      <c r="E67">
        <v>78</v>
      </c>
      <c r="F67">
        <v>0</v>
      </c>
      <c r="G67">
        <v>0</v>
      </c>
      <c r="H67">
        <v>53</v>
      </c>
      <c r="I67">
        <v>0</v>
      </c>
      <c r="J67">
        <v>0</v>
      </c>
    </row>
    <row r="68" spans="2:15" x14ac:dyDescent="0.25">
      <c r="B68">
        <v>138</v>
      </c>
      <c r="C68">
        <v>15</v>
      </c>
      <c r="D68">
        <v>14</v>
      </c>
      <c r="E68">
        <v>62</v>
      </c>
      <c r="F68">
        <v>15</v>
      </c>
      <c r="G68">
        <v>0</v>
      </c>
      <c r="H68">
        <v>52</v>
      </c>
      <c r="I68">
        <v>0</v>
      </c>
      <c r="J68">
        <v>0</v>
      </c>
    </row>
    <row r="69" spans="2:15" x14ac:dyDescent="0.25">
      <c r="B69">
        <v>142</v>
      </c>
      <c r="C69">
        <v>15</v>
      </c>
      <c r="D69">
        <v>14</v>
      </c>
      <c r="E69">
        <v>78</v>
      </c>
      <c r="F69">
        <v>0</v>
      </c>
      <c r="G69">
        <v>0</v>
      </c>
      <c r="H69">
        <v>55</v>
      </c>
      <c r="I69">
        <v>0</v>
      </c>
      <c r="J69">
        <v>0</v>
      </c>
    </row>
    <row r="70" spans="2:15" x14ac:dyDescent="0.25">
      <c r="B70">
        <v>139</v>
      </c>
      <c r="C70">
        <v>14</v>
      </c>
      <c r="D70">
        <v>14</v>
      </c>
      <c r="E70">
        <v>78</v>
      </c>
      <c r="F70">
        <v>0</v>
      </c>
      <c r="G70">
        <v>0</v>
      </c>
      <c r="H70">
        <v>54</v>
      </c>
      <c r="I70">
        <v>0</v>
      </c>
      <c r="J70">
        <v>0</v>
      </c>
    </row>
    <row r="71" spans="2:15" x14ac:dyDescent="0.25">
      <c r="B71">
        <v>148</v>
      </c>
      <c r="C71">
        <v>14</v>
      </c>
      <c r="D71">
        <v>15</v>
      </c>
      <c r="E71">
        <v>62</v>
      </c>
      <c r="F71">
        <v>0</v>
      </c>
      <c r="G71">
        <v>0</v>
      </c>
      <c r="H71">
        <v>53</v>
      </c>
      <c r="I71">
        <v>0</v>
      </c>
      <c r="J71">
        <v>0</v>
      </c>
    </row>
    <row r="72" spans="2:15" x14ac:dyDescent="0.25">
      <c r="B72">
        <v>141</v>
      </c>
      <c r="C72">
        <v>14</v>
      </c>
      <c r="D72">
        <v>14</v>
      </c>
      <c r="E72">
        <v>78</v>
      </c>
      <c r="F72">
        <v>0</v>
      </c>
      <c r="G72">
        <v>16</v>
      </c>
      <c r="H72">
        <v>52</v>
      </c>
      <c r="I72">
        <v>0</v>
      </c>
      <c r="J72">
        <v>0</v>
      </c>
    </row>
    <row r="73" spans="2:15" x14ac:dyDescent="0.25">
      <c r="B73">
        <v>138</v>
      </c>
      <c r="C73">
        <v>15</v>
      </c>
      <c r="D73">
        <v>15</v>
      </c>
      <c r="E73">
        <v>78</v>
      </c>
      <c r="F73">
        <v>16</v>
      </c>
      <c r="G73">
        <v>15</v>
      </c>
      <c r="H73">
        <v>52</v>
      </c>
      <c r="I73">
        <v>0</v>
      </c>
      <c r="J73">
        <v>0</v>
      </c>
    </row>
    <row r="74" spans="2:15" x14ac:dyDescent="0.25">
      <c r="B74">
        <v>140</v>
      </c>
      <c r="C74">
        <v>14</v>
      </c>
      <c r="D74">
        <v>20</v>
      </c>
      <c r="E74">
        <v>78</v>
      </c>
      <c r="F74">
        <v>0</v>
      </c>
      <c r="G74">
        <v>0</v>
      </c>
      <c r="H74">
        <v>53</v>
      </c>
      <c r="I74">
        <v>0</v>
      </c>
      <c r="J74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64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AVERAGE(Table43[Newtonsoft (duration)])</f>
      </c>
      <c r="D38" s="2" t="e">
        <f>AVERAGE(Table43[.NET baked full (duration)])</f>
      </c>
      <c r="E38" s="2" t="e">
        <f>AVERAGE(Table43[.NET baked minimal (duration)])</f>
      </c>
      <c r="F38" s="2" t="e">
        <f>AVERAGE(Table43[Jackson (duration)])</f>
      </c>
      <c r="G38" s="2" t="e">
        <f>AVERAGE(Table43[JVM baked full (duration)])</f>
      </c>
      <c r="H38" s="2" t="e">
        <f>AVERAGE(Table43[JVM baked minimal (duration)])</f>
      </c>
      <c r="I38" s="2" t="e">
        <f>AVERAGE(Table43[Protobuf.NET (duration)])</f>
      </c>
      <c r="J38" s="2" t="e">
        <f>AVERAGE(Table44[.NET (instance only)])</f>
      </c>
      <c r="K38" s="2" t="e">
        <f>AVERAGE(Table44[JVM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AVERAGE(Table44[Newtonsoft (duration)])</f>
      </c>
      <c r="D40" s="2" t="e">
        <f>AVERAGE(Table44[.NET baked full (duration)])</f>
      </c>
      <c r="E40" s="2" t="e">
        <f>AVERAGE(Table44[.NET baked minimal (duration)])</f>
      </c>
      <c r="F40" s="2" t="e">
        <f>AVERAGE(Table44[Jackson (duration)])</f>
      </c>
      <c r="G40" s="2" t="e">
        <f>AVERAGE(Table44[JVM baked full (duration)])</f>
      </c>
      <c r="H40" s="2" t="e">
        <f>AVERAGE(Table44[JVM baked minimal (duration)])</f>
      </c>
      <c r="I40" s="2" t="e">
        <f>AVERAGE(Table44[Protobuf.NET (duration)])</f>
      </c>
      <c r="J40" s="2"/>
      <c r="K40" s="2"/>
    </row>
    <row r="41" spans="2:11" x14ac:dyDescent="0.25">
      <c r="B41" t="s">
        <v>8</v>
      </c>
      <c r="C41" s="3" t="e">
        <f>AVERAGE(Table43[Newtonsoft (size)])</f>
      </c>
      <c r="D41" s="3" t="e">
        <f>AVERAGE(Table43[.NET baked full (size)])</f>
      </c>
      <c r="E41" s="3" t="e">
        <f>AVERAGE(Table43[.NET baked minimal (size)])</f>
      </c>
      <c r="F41" s="3" t="e">
        <f>AVERAGE(Table43[Jackson (size)])</f>
      </c>
      <c r="G41" s="3" t="e">
        <f>AVERAGE(Table43[JVM baked full (size)])</f>
      </c>
      <c r="H41" s="3" t="e">
        <f>AVERAGE(Table43[JVM baked minimal (size)])</f>
      </c>
      <c r="I41" s="3" t="e">
        <f>AVERAGE(Table43[Protobuf.NET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DEVSQ(Table43[Newtonsoft (duration)])</f>
      </c>
      <c r="D46" s="2" t="e">
        <f>DEVSQ(Table43[.NET baked full (duration)])</f>
      </c>
      <c r="E46" s="2" t="e">
        <f>DEVSQ(Table43[.NET baked minimal (duration)])</f>
      </c>
      <c r="F46" s="2" t="e">
        <f>DEVSQ(Table43[Jackson (duration)])</f>
      </c>
      <c r="G46" s="2" t="e">
        <f>DEVSQ(Table43[JVM baked full (duration)])</f>
      </c>
      <c r="H46" s="2" t="e">
        <f>DEVSQ(Table43[JVM baked minimal (duration)])</f>
      </c>
      <c r="I46" s="2" t="e">
        <f>DEVSQ(Table43[Protobuf.NET (duration)])</f>
      </c>
    </row>
    <row r="47" spans="2:11" x14ac:dyDescent="0.25">
      <c r="B47" t="s">
        <v>1</v>
      </c>
      <c r="C47" s="2" t="e">
        <f>DEVSQ(Table44[Newtonsoft (duration)])</f>
      </c>
      <c r="D47" s="2" t="e">
        <f>DEVSQ(Table44[.NET baked full (duration)])</f>
      </c>
      <c r="E47" s="2" t="e">
        <f>DEVSQ(Table44[.NET baked minimal (duration)])</f>
      </c>
      <c r="F47" s="2" t="e">
        <f>DEVSQ(Table44[Jackson (duration)])</f>
      </c>
      <c r="G47" s="2" t="e">
        <f>DEVSQ(Table44[JVM baked full (duration)])</f>
      </c>
      <c r="H47" s="2" t="e">
        <f>DEVSQ(Table44[JVM baked minimal (duration)])</f>
      </c>
      <c r="I47" s="2" t="e">
        <f>DEVSQ(Table44[Protobuf.NET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4913</v>
      </c>
      <c r="C52">
        <v>131500680</v>
      </c>
      <c r="D52">
        <v>2464</v>
      </c>
      <c r="E52">
        <v>116500683</v>
      </c>
      <c r="F52">
        <v>2447</v>
      </c>
      <c r="G52">
        <v>116500683</v>
      </c>
      <c r="H52">
        <v>1857</v>
      </c>
      <c r="I52">
        <v>112259578</v>
      </c>
      <c r="J52">
        <v>1763</v>
      </c>
      <c r="K52">
        <v>112259512</v>
      </c>
      <c r="L52">
        <v>1762</v>
      </c>
      <c r="M52">
        <v>105259513</v>
      </c>
      <c r="N52">
        <v>2104</v>
      </c>
      <c r="O52">
        <v>72611786</v>
      </c>
    </row>
    <row r="53" spans="2:15" x14ac:dyDescent="0.25">
      <c r="B53">
        <v>5010</v>
      </c>
      <c r="C53">
        <v>131500680</v>
      </c>
      <c r="D53">
        <v>2480</v>
      </c>
      <c r="E53">
        <v>116500683</v>
      </c>
      <c r="F53">
        <v>2467</v>
      </c>
      <c r="G53">
        <v>116500683</v>
      </c>
      <c r="H53">
        <v>1716</v>
      </c>
      <c r="I53">
        <v>112259575</v>
      </c>
      <c r="J53">
        <v>1996</v>
      </c>
      <c r="K53">
        <v>112259515</v>
      </c>
      <c r="L53">
        <v>1778</v>
      </c>
      <c r="M53">
        <v>105259513</v>
      </c>
      <c r="N53">
        <v>2183</v>
      </c>
      <c r="O53">
        <v>72611786</v>
      </c>
    </row>
    <row r="54" spans="2:15" x14ac:dyDescent="0.25">
      <c r="B54">
        <v>5020</v>
      </c>
      <c r="C54">
        <v>131500680</v>
      </c>
      <c r="D54">
        <v>2450</v>
      </c>
      <c r="E54">
        <v>116500683</v>
      </c>
      <c r="F54">
        <v>2492</v>
      </c>
      <c r="G54">
        <v>116500683</v>
      </c>
      <c r="H54">
        <v>1809</v>
      </c>
      <c r="I54">
        <v>112259574</v>
      </c>
      <c r="J54">
        <v>1685</v>
      </c>
      <c r="K54">
        <v>112259512</v>
      </c>
      <c r="L54">
        <v>1762</v>
      </c>
      <c r="M54">
        <v>105259513</v>
      </c>
      <c r="N54">
        <v>2144</v>
      </c>
      <c r="O54">
        <v>72611786</v>
      </c>
    </row>
    <row r="55" spans="2:15" x14ac:dyDescent="0.25">
      <c r="B55">
        <v>5098</v>
      </c>
      <c r="C55">
        <v>131500680</v>
      </c>
      <c r="D55">
        <v>2536</v>
      </c>
      <c r="E55">
        <v>116500683</v>
      </c>
      <c r="F55">
        <v>2498</v>
      </c>
      <c r="G55">
        <v>116500683</v>
      </c>
      <c r="H55">
        <v>1903</v>
      </c>
      <c r="I55">
        <v>112259567</v>
      </c>
      <c r="J55">
        <v>1763</v>
      </c>
      <c r="K55">
        <v>112259514</v>
      </c>
      <c r="L55">
        <v>1716</v>
      </c>
      <c r="M55">
        <v>105259518</v>
      </c>
      <c r="N55">
        <v>2132</v>
      </c>
      <c r="O55">
        <v>72611786</v>
      </c>
    </row>
    <row r="56" spans="2:15" x14ac:dyDescent="0.25">
      <c r="B56">
        <v>5018</v>
      </c>
      <c r="C56">
        <v>131500680</v>
      </c>
      <c r="D56">
        <v>2437</v>
      </c>
      <c r="E56">
        <v>116500683</v>
      </c>
      <c r="F56">
        <v>2516</v>
      </c>
      <c r="G56">
        <v>116500683</v>
      </c>
      <c r="H56">
        <v>1732</v>
      </c>
      <c r="I56">
        <v>112259575</v>
      </c>
      <c r="J56">
        <v>1762</v>
      </c>
      <c r="K56">
        <v>112262040</v>
      </c>
      <c r="L56">
        <v>1763</v>
      </c>
      <c r="M56">
        <v>105259516</v>
      </c>
      <c r="N56">
        <v>2169</v>
      </c>
      <c r="O56">
        <v>72611786</v>
      </c>
    </row>
    <row r="57" spans="2:15" x14ac:dyDescent="0.25">
      <c r="B57">
        <v>5042</v>
      </c>
      <c r="C57">
        <v>131500680</v>
      </c>
      <c r="D57">
        <v>2572</v>
      </c>
      <c r="E57">
        <v>116500683</v>
      </c>
      <c r="F57">
        <v>2563</v>
      </c>
      <c r="G57">
        <v>116500683</v>
      </c>
      <c r="H57">
        <v>1747</v>
      </c>
      <c r="I57">
        <v>112259568</v>
      </c>
      <c r="J57">
        <v>1825</v>
      </c>
      <c r="K57">
        <v>112259520</v>
      </c>
      <c r="L57">
        <v>1747</v>
      </c>
      <c r="M57">
        <v>105259514</v>
      </c>
      <c r="N57">
        <v>2221</v>
      </c>
      <c r="O57">
        <v>72611786</v>
      </c>
    </row>
    <row r="58" spans="2:15" x14ac:dyDescent="0.25">
      <c r="B58">
        <v>5124</v>
      </c>
      <c r="C58">
        <v>131500680</v>
      </c>
      <c r="D58">
        <v>2470</v>
      </c>
      <c r="E58">
        <v>116500683</v>
      </c>
      <c r="F58">
        <v>2489</v>
      </c>
      <c r="G58">
        <v>116500683</v>
      </c>
      <c r="H58">
        <v>1779</v>
      </c>
      <c r="I58">
        <v>112259570</v>
      </c>
      <c r="J58">
        <v>1763</v>
      </c>
      <c r="K58">
        <v>112259512</v>
      </c>
      <c r="L58">
        <v>1732</v>
      </c>
      <c r="M58">
        <v>105259517</v>
      </c>
      <c r="N58">
        <v>2155</v>
      </c>
      <c r="O58">
        <v>72611786</v>
      </c>
    </row>
    <row r="59" spans="2:15" x14ac:dyDescent="0.25">
      <c r="B59">
        <v>5138</v>
      </c>
      <c r="C59">
        <v>131500680</v>
      </c>
      <c r="D59">
        <v>2553</v>
      </c>
      <c r="E59">
        <v>116500683</v>
      </c>
      <c r="F59">
        <v>2548</v>
      </c>
      <c r="G59">
        <v>116500683</v>
      </c>
      <c r="H59">
        <v>1857</v>
      </c>
      <c r="I59">
        <v>112259573</v>
      </c>
      <c r="J59">
        <v>1826</v>
      </c>
      <c r="K59">
        <v>112259516</v>
      </c>
      <c r="L59">
        <v>1794</v>
      </c>
      <c r="M59">
        <v>105259510</v>
      </c>
      <c r="N59">
        <v>2137</v>
      </c>
      <c r="O59">
        <v>72611786</v>
      </c>
    </row>
    <row r="60" spans="2:15" x14ac:dyDescent="0.25">
      <c r="B60">
        <v>5160</v>
      </c>
      <c r="C60">
        <v>131500680</v>
      </c>
      <c r="D60">
        <v>2521</v>
      </c>
      <c r="E60">
        <v>116500683</v>
      </c>
      <c r="F60">
        <v>2531</v>
      </c>
      <c r="G60">
        <v>116500683</v>
      </c>
      <c r="H60">
        <v>1825</v>
      </c>
      <c r="I60">
        <v>112259572</v>
      </c>
      <c r="J60">
        <v>1732</v>
      </c>
      <c r="K60">
        <v>112259512</v>
      </c>
      <c r="L60">
        <v>1794</v>
      </c>
      <c r="M60">
        <v>105259514</v>
      </c>
      <c r="N60">
        <v>2166</v>
      </c>
      <c r="O60">
        <v>72611786</v>
      </c>
    </row>
    <row r="61" spans="2:15" x14ac:dyDescent="0.25">
      <c r="B61">
        <v>5179</v>
      </c>
      <c r="C61">
        <v>131500680</v>
      </c>
      <c r="D61">
        <v>2551</v>
      </c>
      <c r="E61">
        <v>116500683</v>
      </c>
      <c r="F61">
        <v>2552</v>
      </c>
      <c r="G61">
        <v>116500683</v>
      </c>
      <c r="H61">
        <v>1809</v>
      </c>
      <c r="I61">
        <v>112259575</v>
      </c>
      <c r="J61">
        <v>1732</v>
      </c>
      <c r="K61">
        <v>112259517</v>
      </c>
      <c r="L61">
        <v>1825</v>
      </c>
      <c r="M61">
        <v>105259514</v>
      </c>
      <c r="N61">
        <v>2101</v>
      </c>
      <c r="O61">
        <v>72611786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14224</v>
      </c>
      <c r="C65">
        <v>4097</v>
      </c>
      <c r="D65">
        <v>4738</v>
      </c>
      <c r="E65">
        <v>5538</v>
      </c>
      <c r="F65">
        <v>3526</v>
      </c>
      <c r="G65">
        <v>3307</v>
      </c>
      <c r="H65">
        <v>4786</v>
      </c>
      <c r="I65">
        <v>1415</v>
      </c>
      <c r="J65">
        <v>546</v>
      </c>
    </row>
    <row r="66" spans="2:15" x14ac:dyDescent="0.25">
      <c r="B66">
        <v>14267</v>
      </c>
      <c r="C66">
        <v>4066</v>
      </c>
      <c r="D66">
        <v>4688</v>
      </c>
      <c r="E66">
        <v>5648</v>
      </c>
      <c r="F66">
        <v>3276</v>
      </c>
      <c r="G66">
        <v>3370</v>
      </c>
      <c r="H66">
        <v>4803</v>
      </c>
      <c r="I66">
        <v>1415</v>
      </c>
      <c r="J66">
        <v>546</v>
      </c>
    </row>
    <row r="67" spans="2:15" x14ac:dyDescent="0.25">
      <c r="B67">
        <v>14407</v>
      </c>
      <c r="C67">
        <v>4064</v>
      </c>
      <c r="D67">
        <v>4849</v>
      </c>
      <c r="E67">
        <v>5709</v>
      </c>
      <c r="F67">
        <v>3463</v>
      </c>
      <c r="G67">
        <v>3417</v>
      </c>
      <c r="H67">
        <v>4804</v>
      </c>
      <c r="I67">
        <v>1405</v>
      </c>
      <c r="J67">
        <v>562</v>
      </c>
    </row>
    <row r="68" spans="2:15" x14ac:dyDescent="0.25">
      <c r="B68">
        <v>14434</v>
      </c>
      <c r="C68">
        <v>4224</v>
      </c>
      <c r="D68">
        <v>4811</v>
      </c>
      <c r="E68">
        <v>5616</v>
      </c>
      <c r="F68">
        <v>3385</v>
      </c>
      <c r="G68">
        <v>3354</v>
      </c>
      <c r="H68">
        <v>4827</v>
      </c>
      <c r="I68">
        <v>1428</v>
      </c>
      <c r="J68">
        <v>546</v>
      </c>
    </row>
    <row r="69" spans="2:15" x14ac:dyDescent="0.25">
      <c r="B69">
        <v>14471</v>
      </c>
      <c r="C69">
        <v>4064</v>
      </c>
      <c r="D69">
        <v>4807</v>
      </c>
      <c r="E69">
        <v>5741</v>
      </c>
      <c r="F69">
        <v>3370</v>
      </c>
      <c r="G69">
        <v>3432</v>
      </c>
      <c r="H69">
        <v>4768</v>
      </c>
      <c r="I69">
        <v>1422</v>
      </c>
      <c r="J69">
        <v>561</v>
      </c>
    </row>
    <row r="70" spans="2:15" x14ac:dyDescent="0.25">
      <c r="B70">
        <v>14772</v>
      </c>
      <c r="C70">
        <v>4137</v>
      </c>
      <c r="D70">
        <v>4754</v>
      </c>
      <c r="E70">
        <v>5648</v>
      </c>
      <c r="F70">
        <v>3510</v>
      </c>
      <c r="G70">
        <v>3323</v>
      </c>
      <c r="H70">
        <v>4875</v>
      </c>
      <c r="I70">
        <v>1445</v>
      </c>
      <c r="J70">
        <v>577</v>
      </c>
    </row>
    <row r="71" spans="2:15" x14ac:dyDescent="0.25">
      <c r="B71">
        <v>14314</v>
      </c>
      <c r="C71">
        <v>4148</v>
      </c>
      <c r="D71">
        <v>4767</v>
      </c>
      <c r="E71">
        <v>5694</v>
      </c>
      <c r="F71">
        <v>3651</v>
      </c>
      <c r="G71">
        <v>3276</v>
      </c>
      <c r="H71">
        <v>4830</v>
      </c>
      <c r="I71">
        <v>1406</v>
      </c>
      <c r="J71">
        <v>562</v>
      </c>
    </row>
    <row r="72" spans="2:15" x14ac:dyDescent="0.25">
      <c r="B72">
        <v>14247</v>
      </c>
      <c r="C72">
        <v>4132</v>
      </c>
      <c r="D72">
        <v>4775</v>
      </c>
      <c r="E72">
        <v>5647</v>
      </c>
      <c r="F72">
        <v>3525</v>
      </c>
      <c r="G72">
        <v>3276</v>
      </c>
      <c r="H72">
        <v>4796</v>
      </c>
      <c r="I72">
        <v>1391</v>
      </c>
      <c r="J72">
        <v>561</v>
      </c>
    </row>
    <row r="73" spans="2:15" x14ac:dyDescent="0.25">
      <c r="B73">
        <v>15516</v>
      </c>
      <c r="C73">
        <v>4152</v>
      </c>
      <c r="D73">
        <v>4721</v>
      </c>
      <c r="E73">
        <v>5741</v>
      </c>
      <c r="F73">
        <v>3338</v>
      </c>
      <c r="G73">
        <v>3292</v>
      </c>
      <c r="H73">
        <v>4838</v>
      </c>
      <c r="I73">
        <v>1426</v>
      </c>
      <c r="J73">
        <v>577</v>
      </c>
    </row>
    <row r="74" spans="2:15" x14ac:dyDescent="0.25">
      <c r="B74">
        <v>14928</v>
      </c>
      <c r="C74">
        <v>4137</v>
      </c>
      <c r="D74">
        <v>4769</v>
      </c>
      <c r="E74">
        <v>5460</v>
      </c>
      <c r="F74">
        <v>3478</v>
      </c>
      <c r="G74">
        <v>3323</v>
      </c>
      <c r="H74">
        <v>4807</v>
      </c>
      <c r="I74">
        <v>1459</v>
      </c>
      <c r="J74">
        <v>593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65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AVERAGE(Table47[Newtonsoft (duration)])</f>
      </c>
      <c r="D38" s="2" t="e">
        <f>AVERAGE(Table47[.NET baked full (duration)])</f>
      </c>
      <c r="E38" s="2" t="e">
        <f>AVERAGE(Table47[.NET baked minimal (duration)])</f>
      </c>
      <c r="F38" s="2" t="e">
        <f>AVERAGE(Table47[Jackson (duration)])</f>
      </c>
      <c r="G38" s="2" t="e">
        <f>AVERAGE(Table47[JVM baked full (duration)])</f>
      </c>
      <c r="H38" s="2" t="e">
        <f>AVERAGE(Table47[JVM baked minimal (duration)])</f>
      </c>
      <c r="I38" s="2" t="e">
        <f>AVERAGE(Table47[Protobuf.NET (duration)])</f>
      </c>
      <c r="J38" s="2" t="e">
        <f>AVERAGE(Table48[.NET (instance only)])</f>
      </c>
      <c r="K38" s="2" t="e">
        <f>AVERAGE(Table48[JVM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AVERAGE(Table48[Newtonsoft (duration)])</f>
      </c>
      <c r="D40" s="2" t="e">
        <f>AVERAGE(Table48[.NET baked full (duration)])</f>
      </c>
      <c r="E40" s="2" t="e">
        <f>AVERAGE(Table48[.NET baked minimal (duration)])</f>
      </c>
      <c r="F40" s="2" t="e">
        <f>AVERAGE(Table48[Jackson (duration)])</f>
      </c>
      <c r="G40" s="2" t="e">
        <f>AVERAGE(Table48[JVM baked full (duration)])</f>
      </c>
      <c r="H40" s="2" t="e">
        <f>AVERAGE(Table48[JVM baked minimal (duration)])</f>
      </c>
      <c r="I40" s="2" t="e">
        <f>AVERAGE(Table48[Protobuf.NET (duration)])</f>
      </c>
      <c r="J40" s="2"/>
      <c r="K40" s="2"/>
    </row>
    <row r="41" spans="2:11" x14ac:dyDescent="0.25">
      <c r="B41" t="s">
        <v>8</v>
      </c>
      <c r="C41" s="3" t="e">
        <f>AVERAGE(Table47[Newtonsoft (size)])</f>
      </c>
      <c r="D41" s="3" t="e">
        <f>AVERAGE(Table47[.NET baked full (size)])</f>
      </c>
      <c r="E41" s="3" t="e">
        <f>AVERAGE(Table47[.NET baked minimal (size)])</f>
      </c>
      <c r="F41" s="3" t="e">
        <f>AVERAGE(Table47[Jackson (size)])</f>
      </c>
      <c r="G41" s="3" t="e">
        <f>AVERAGE(Table47[JVM baked full (size)])</f>
      </c>
      <c r="H41" s="3" t="e">
        <f>AVERAGE(Table47[JVM baked minimal (size)])</f>
      </c>
      <c r="I41" s="3" t="e">
        <f>AVERAGE(Table47[Protobuf.NET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DEVSQ(Table47[Newtonsoft (duration)])</f>
      </c>
      <c r="D46" s="2" t="e">
        <f>DEVSQ(Table47[.NET baked full (duration)])</f>
      </c>
      <c r="E46" s="2" t="e">
        <f>DEVSQ(Table47[.NET baked minimal (duration)])</f>
      </c>
      <c r="F46" s="2" t="e">
        <f>DEVSQ(Table47[Jackson (duration)])</f>
      </c>
      <c r="G46" s="2" t="e">
        <f>DEVSQ(Table47[JVM baked full (duration)])</f>
      </c>
      <c r="H46" s="2" t="e">
        <f>DEVSQ(Table47[JVM baked minimal (duration)])</f>
      </c>
      <c r="I46" s="2" t="e">
        <f>DEVSQ(Table47[Protobuf.NET (duration)])</f>
      </c>
    </row>
    <row r="47" spans="2:11" x14ac:dyDescent="0.25">
      <c r="B47" t="s">
        <v>1</v>
      </c>
      <c r="C47" s="2" t="e">
        <f>DEVSQ(Table48[Newtonsoft (duration)])</f>
      </c>
      <c r="D47" s="2" t="e">
        <f>DEVSQ(Table48[.NET baked full (duration)])</f>
      </c>
      <c r="E47" s="2" t="e">
        <f>DEVSQ(Table48[.NET baked minimal (duration)])</f>
      </c>
      <c r="F47" s="2" t="e">
        <f>DEVSQ(Table48[Jackson (duration)])</f>
      </c>
      <c r="G47" s="2" t="e">
        <f>DEVSQ(Table48[JVM baked full (duration)])</f>
      </c>
      <c r="H47" s="2" t="e">
        <f>DEVSQ(Table48[JVM baked minimal (duration)])</f>
      </c>
      <c r="I47" s="2" t="e">
        <f>DEVSQ(Table48[Protobuf.NET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51148</v>
      </c>
      <c r="C52">
        <v>1345010580</v>
      </c>
      <c r="D52">
        <v>25579</v>
      </c>
      <c r="E52">
        <v>1195010591</v>
      </c>
      <c r="F52">
        <v>25102</v>
      </c>
      <c r="G52">
        <v>1195010591</v>
      </c>
      <c r="H52">
        <v>15538</v>
      </c>
      <c r="I52">
        <v>1142600200</v>
      </c>
      <c r="J52">
        <v>16676</v>
      </c>
      <c r="K52">
        <v>1142600152</v>
      </c>
      <c r="L52">
        <v>15787</v>
      </c>
      <c r="M52">
        <v>1072600153</v>
      </c>
      <c r="N52">
        <v>21715</v>
      </c>
      <c r="O52">
        <v>746121694</v>
      </c>
    </row>
    <row r="53" spans="2:15" x14ac:dyDescent="0.25">
      <c r="B53">
        <v>51834</v>
      </c>
      <c r="C53">
        <v>1345010580</v>
      </c>
      <c r="D53">
        <v>25666</v>
      </c>
      <c r="E53">
        <v>1195010591</v>
      </c>
      <c r="F53">
        <v>25269</v>
      </c>
      <c r="G53">
        <v>1195010591</v>
      </c>
      <c r="H53">
        <v>16661</v>
      </c>
      <c r="I53">
        <v>1142600199</v>
      </c>
      <c r="J53">
        <v>16505</v>
      </c>
      <c r="K53">
        <v>1142600167</v>
      </c>
      <c r="L53">
        <v>15101</v>
      </c>
      <c r="M53">
        <v>1072600147</v>
      </c>
      <c r="N53">
        <v>21624</v>
      </c>
      <c r="O53">
        <v>746121694</v>
      </c>
    </row>
    <row r="54" spans="2:15" x14ac:dyDescent="0.25">
      <c r="B54">
        <v>52169</v>
      </c>
      <c r="C54">
        <v>1345010580</v>
      </c>
      <c r="D54">
        <v>25540</v>
      </c>
      <c r="E54">
        <v>1195010591</v>
      </c>
      <c r="F54">
        <v>25618</v>
      </c>
      <c r="G54">
        <v>1195010591</v>
      </c>
      <c r="H54">
        <v>15491</v>
      </c>
      <c r="I54">
        <v>1142600208</v>
      </c>
      <c r="J54">
        <v>16193</v>
      </c>
      <c r="K54">
        <v>1142600147</v>
      </c>
      <c r="L54">
        <v>16084</v>
      </c>
      <c r="M54">
        <v>1072600141</v>
      </c>
      <c r="N54">
        <v>21602</v>
      </c>
      <c r="O54">
        <v>746121694</v>
      </c>
    </row>
    <row r="55" spans="2:15" x14ac:dyDescent="0.25">
      <c r="B55">
        <v>54008</v>
      </c>
      <c r="C55">
        <v>1345010580</v>
      </c>
      <c r="D55">
        <v>25695</v>
      </c>
      <c r="E55">
        <v>1195010591</v>
      </c>
      <c r="F55">
        <v>25659</v>
      </c>
      <c r="G55">
        <v>1195010591</v>
      </c>
      <c r="H55">
        <v>15147</v>
      </c>
      <c r="I55">
        <v>1142600216</v>
      </c>
      <c r="J55">
        <v>15756</v>
      </c>
      <c r="K55">
        <v>1142600160</v>
      </c>
      <c r="L55">
        <v>15740</v>
      </c>
      <c r="M55">
        <v>1072600113</v>
      </c>
      <c r="N55">
        <v>21698</v>
      </c>
      <c r="O55">
        <v>746121694</v>
      </c>
    </row>
    <row r="56" spans="2:15" x14ac:dyDescent="0.25">
      <c r="B56">
        <v>51143</v>
      </c>
      <c r="C56">
        <v>1345010580</v>
      </c>
      <c r="D56">
        <v>25324</v>
      </c>
      <c r="E56">
        <v>1195010591</v>
      </c>
      <c r="F56">
        <v>25483</v>
      </c>
      <c r="G56">
        <v>1195010591</v>
      </c>
      <c r="H56">
        <v>15694</v>
      </c>
      <c r="I56">
        <v>1142600198</v>
      </c>
      <c r="J56">
        <v>16255</v>
      </c>
      <c r="K56">
        <v>1142600136</v>
      </c>
      <c r="L56">
        <v>16006</v>
      </c>
      <c r="M56">
        <v>1072600130</v>
      </c>
      <c r="N56">
        <v>21700</v>
      </c>
      <c r="O56">
        <v>746121694</v>
      </c>
    </row>
    <row r="57" spans="2:15" x14ac:dyDescent="0.25">
      <c r="B57">
        <v>51097</v>
      </c>
      <c r="C57">
        <v>1345010580</v>
      </c>
      <c r="D57">
        <v>25846</v>
      </c>
      <c r="E57">
        <v>1195010591</v>
      </c>
      <c r="F57">
        <v>25016</v>
      </c>
      <c r="G57">
        <v>1195010591</v>
      </c>
      <c r="H57">
        <v>16115</v>
      </c>
      <c r="I57">
        <v>1142600191</v>
      </c>
      <c r="J57">
        <v>15553</v>
      </c>
      <c r="K57">
        <v>1142600127</v>
      </c>
      <c r="L57">
        <v>15928</v>
      </c>
      <c r="M57">
        <v>1072600134</v>
      </c>
      <c r="N57">
        <v>21603</v>
      </c>
      <c r="O57">
        <v>746121694</v>
      </c>
    </row>
    <row r="58" spans="2:15" x14ac:dyDescent="0.25">
      <c r="B58">
        <v>51929</v>
      </c>
      <c r="C58">
        <v>1345010580</v>
      </c>
      <c r="D58">
        <v>25485</v>
      </c>
      <c r="E58">
        <v>1195010591</v>
      </c>
      <c r="F58">
        <v>25407</v>
      </c>
      <c r="G58">
        <v>1195010591</v>
      </c>
      <c r="H58">
        <v>15054</v>
      </c>
      <c r="I58">
        <v>1142600184</v>
      </c>
      <c r="J58">
        <v>15600</v>
      </c>
      <c r="K58">
        <v>1142600150</v>
      </c>
      <c r="L58">
        <v>16427</v>
      </c>
      <c r="M58">
        <v>1072600169</v>
      </c>
      <c r="N58">
        <v>21474</v>
      </c>
      <c r="O58">
        <v>746121694</v>
      </c>
    </row>
    <row r="59" spans="2:15" x14ac:dyDescent="0.25">
      <c r="B59">
        <v>53689</v>
      </c>
      <c r="C59">
        <v>1345010580</v>
      </c>
      <c r="D59">
        <v>25516</v>
      </c>
      <c r="E59">
        <v>1195010591</v>
      </c>
      <c r="F59">
        <v>25569</v>
      </c>
      <c r="G59">
        <v>1195010591</v>
      </c>
      <c r="H59">
        <v>15460</v>
      </c>
      <c r="I59">
        <v>1142600198</v>
      </c>
      <c r="J59">
        <v>15865</v>
      </c>
      <c r="K59">
        <v>1142600139</v>
      </c>
      <c r="L59">
        <v>16022</v>
      </c>
      <c r="M59">
        <v>1072600117</v>
      </c>
      <c r="N59">
        <v>21701</v>
      </c>
      <c r="O59">
        <v>746121694</v>
      </c>
    </row>
    <row r="60" spans="2:15" x14ac:dyDescent="0.25">
      <c r="B60">
        <v>51488</v>
      </c>
      <c r="C60">
        <v>1345010580</v>
      </c>
      <c r="D60">
        <v>25656</v>
      </c>
      <c r="E60">
        <v>1195010591</v>
      </c>
      <c r="F60">
        <v>25614</v>
      </c>
      <c r="G60">
        <v>1195010591</v>
      </c>
      <c r="H60">
        <v>16224</v>
      </c>
      <c r="I60">
        <v>1142600188</v>
      </c>
      <c r="J60">
        <v>16177</v>
      </c>
      <c r="K60">
        <v>1142600180</v>
      </c>
      <c r="L60">
        <v>14851</v>
      </c>
      <c r="M60">
        <v>1072600149</v>
      </c>
      <c r="N60">
        <v>21569</v>
      </c>
      <c r="O60">
        <v>746121694</v>
      </c>
    </row>
    <row r="61" spans="2:15" x14ac:dyDescent="0.25">
      <c r="B61">
        <v>55446</v>
      </c>
      <c r="C61">
        <v>1345010580</v>
      </c>
      <c r="D61">
        <v>25733</v>
      </c>
      <c r="E61">
        <v>1195010591</v>
      </c>
      <c r="F61">
        <v>25541</v>
      </c>
      <c r="G61">
        <v>1195010591</v>
      </c>
      <c r="H61">
        <v>16146</v>
      </c>
      <c r="I61">
        <v>1142605483</v>
      </c>
      <c r="J61">
        <v>15631</v>
      </c>
      <c r="K61">
        <v>1142600171</v>
      </c>
      <c r="L61">
        <v>16021</v>
      </c>
      <c r="M61">
        <v>1072600168</v>
      </c>
      <c r="N61">
        <v>21404</v>
      </c>
      <c r="O61">
        <v>746121694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148770</v>
      </c>
      <c r="C65">
        <v>41641</v>
      </c>
      <c r="D65">
        <v>47364</v>
      </c>
      <c r="E65">
        <v>52604</v>
      </c>
      <c r="F65">
        <v>33181</v>
      </c>
      <c r="G65">
        <v>31480</v>
      </c>
      <c r="H65">
        <v>47772</v>
      </c>
      <c r="I65">
        <v>14016</v>
      </c>
      <c r="J65">
        <v>3947</v>
      </c>
    </row>
    <row r="66" spans="2:15" x14ac:dyDescent="0.25">
      <c r="B66">
        <v>145582</v>
      </c>
      <c r="C66">
        <v>41753</v>
      </c>
      <c r="D66">
        <v>48088</v>
      </c>
      <c r="E66">
        <v>51808</v>
      </c>
      <c r="F66">
        <v>31294</v>
      </c>
      <c r="G66">
        <v>31091</v>
      </c>
      <c r="H66">
        <v>48033</v>
      </c>
      <c r="I66">
        <v>14248</v>
      </c>
      <c r="J66">
        <v>4524</v>
      </c>
    </row>
    <row r="67" spans="2:15" x14ac:dyDescent="0.25">
      <c r="B67">
        <v>153789</v>
      </c>
      <c r="C67">
        <v>41088</v>
      </c>
      <c r="D67">
        <v>48016</v>
      </c>
      <c r="E67">
        <v>54725</v>
      </c>
      <c r="F67">
        <v>33243</v>
      </c>
      <c r="G67">
        <v>30935</v>
      </c>
      <c r="H67">
        <v>47523</v>
      </c>
      <c r="I67">
        <v>14356</v>
      </c>
      <c r="J67">
        <v>4212</v>
      </c>
    </row>
    <row r="68" spans="2:15" x14ac:dyDescent="0.25">
      <c r="B68">
        <v>143970</v>
      </c>
      <c r="C68">
        <v>41111</v>
      </c>
      <c r="D68">
        <v>48040</v>
      </c>
      <c r="E68">
        <v>52557</v>
      </c>
      <c r="F68">
        <v>31917</v>
      </c>
      <c r="G68">
        <v>31231</v>
      </c>
      <c r="H68">
        <v>48258</v>
      </c>
      <c r="I68">
        <v>14267</v>
      </c>
      <c r="J68">
        <v>4056</v>
      </c>
    </row>
    <row r="69" spans="2:15" x14ac:dyDescent="0.25">
      <c r="B69">
        <v>142990</v>
      </c>
      <c r="C69">
        <v>40627</v>
      </c>
      <c r="D69">
        <v>47153</v>
      </c>
      <c r="E69">
        <v>51980</v>
      </c>
      <c r="F69">
        <v>32417</v>
      </c>
      <c r="G69">
        <v>32292</v>
      </c>
      <c r="H69">
        <v>47904</v>
      </c>
      <c r="I69">
        <v>14308</v>
      </c>
      <c r="J69">
        <v>3962</v>
      </c>
    </row>
    <row r="70" spans="2:15" x14ac:dyDescent="0.25">
      <c r="B70">
        <v>144073</v>
      </c>
      <c r="C70">
        <v>41846</v>
      </c>
      <c r="D70">
        <v>46892</v>
      </c>
      <c r="E70">
        <v>53508</v>
      </c>
      <c r="F70">
        <v>31590</v>
      </c>
      <c r="G70">
        <v>29453</v>
      </c>
      <c r="H70">
        <v>47749</v>
      </c>
      <c r="I70">
        <v>14303</v>
      </c>
      <c r="J70">
        <v>4056</v>
      </c>
    </row>
    <row r="71" spans="2:15" x14ac:dyDescent="0.25">
      <c r="B71">
        <v>144509</v>
      </c>
      <c r="C71">
        <v>40153</v>
      </c>
      <c r="D71">
        <v>46964</v>
      </c>
      <c r="E71">
        <v>53835</v>
      </c>
      <c r="F71">
        <v>32682</v>
      </c>
      <c r="G71">
        <v>30951</v>
      </c>
      <c r="H71">
        <v>47380</v>
      </c>
      <c r="I71">
        <v>14352</v>
      </c>
      <c r="J71">
        <v>4461</v>
      </c>
    </row>
    <row r="72" spans="2:15" x14ac:dyDescent="0.25">
      <c r="B72">
        <v>142314</v>
      </c>
      <c r="C72">
        <v>40282</v>
      </c>
      <c r="D72">
        <v>47224</v>
      </c>
      <c r="E72">
        <v>53087</v>
      </c>
      <c r="F72">
        <v>32261</v>
      </c>
      <c r="G72">
        <v>30420</v>
      </c>
      <c r="H72">
        <v>47354</v>
      </c>
      <c r="I72">
        <v>14369</v>
      </c>
      <c r="J72">
        <v>4056</v>
      </c>
    </row>
    <row r="73" spans="2:15" x14ac:dyDescent="0.25">
      <c r="B73">
        <v>141749</v>
      </c>
      <c r="C73">
        <v>41730</v>
      </c>
      <c r="D73">
        <v>47559</v>
      </c>
      <c r="E73">
        <v>52743</v>
      </c>
      <c r="F73">
        <v>32074</v>
      </c>
      <c r="G73">
        <v>31746</v>
      </c>
      <c r="H73">
        <v>47736</v>
      </c>
      <c r="I73">
        <v>13922</v>
      </c>
      <c r="J73">
        <v>3994</v>
      </c>
    </row>
    <row r="74" spans="2:15" x14ac:dyDescent="0.25">
      <c r="B74">
        <v>141339</v>
      </c>
      <c r="C74">
        <v>41787</v>
      </c>
      <c r="D74">
        <v>46980</v>
      </c>
      <c r="E74">
        <v>53742</v>
      </c>
      <c r="F74">
        <v>31886</v>
      </c>
      <c r="G74">
        <v>31216</v>
      </c>
      <c r="H74">
        <v>47801</v>
      </c>
      <c r="I74">
        <v>14260</v>
      </c>
      <c r="J74">
        <v>4072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66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AVERAGE(Table51[Newtonsoft (duration)])</f>
      </c>
      <c r="D38" s="2" t="e">
        <f>AVERAGE(Table51[.NET baked full (duration)])</f>
      </c>
      <c r="E38" s="2" t="e">
        <f>AVERAGE(Table51[.NET baked minimal (duration)])</f>
      </c>
      <c r="F38" s="2" t="e">
        <f>AVERAGE(Table51[Jackson (duration)])</f>
      </c>
      <c r="G38" s="2" t="e">
        <f>AVERAGE(Table51[JVM baked full (duration)])</f>
      </c>
      <c r="H38" s="2" t="e">
        <f>AVERAGE(Table51[JVM baked minimal (duration)])</f>
      </c>
      <c r="I38" s="2" t="e">
        <f>AVERAGE(Table51[Protobuf.NET (duration)])</f>
      </c>
      <c r="J38" s="2" t="e">
        <f>AVERAGE(Table52[.NET (instance only)])</f>
      </c>
      <c r="K38" s="2" t="e">
        <f>AVERAGE(Table52[JVM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AVERAGE(Table52[Newtonsoft (duration)])</f>
      </c>
      <c r="D40" s="2" t="e">
        <f>AVERAGE(Table52[.NET baked full (duration)])</f>
      </c>
      <c r="E40" s="2" t="e">
        <f>AVERAGE(Table52[.NET baked minimal (duration)])</f>
      </c>
      <c r="F40" s="2" t="e">
        <f>AVERAGE(Table52[Jackson (duration)])</f>
      </c>
      <c r="G40" s="2" t="e">
        <f>AVERAGE(Table52[JVM baked full (duration)])</f>
      </c>
      <c r="H40" s="2" t="e">
        <f>AVERAGE(Table52[JVM baked minimal (duration)])</f>
      </c>
      <c r="I40" s="2" t="e">
        <f>AVERAGE(Table52[Protobuf.NET (duration)])</f>
      </c>
      <c r="J40" s="2"/>
      <c r="K40" s="2"/>
    </row>
    <row r="41" spans="2:11" x14ac:dyDescent="0.25">
      <c r="B41" t="s">
        <v>8</v>
      </c>
      <c r="C41" s="3" t="e">
        <f>AVERAGE(Table51[Newtonsoft (size)])</f>
      </c>
      <c r="D41" s="3" t="e">
        <f>AVERAGE(Table51[.NET baked full (size)])</f>
      </c>
      <c r="E41" s="3" t="e">
        <f>AVERAGE(Table51[.NET baked minimal (size)])</f>
      </c>
      <c r="F41" s="3" t="e">
        <f>AVERAGE(Table51[Jackson (size)])</f>
      </c>
      <c r="G41" s="3" t="e">
        <f>AVERAGE(Table51[JVM baked full (size)])</f>
      </c>
      <c r="H41" s="3" t="e">
        <f>AVERAGE(Table51[JVM baked minimal (size)])</f>
      </c>
      <c r="I41" s="3" t="e">
        <f>AVERAGE(Table51[Protobuf.NET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DEVSQ(Table51[Newtonsoft (duration)])</f>
      </c>
      <c r="D46" s="2" t="e">
        <f>DEVSQ(Table51[.NET baked full (duration)])</f>
      </c>
      <c r="E46" s="2" t="e">
        <f>DEVSQ(Table51[.NET baked minimal (duration)])</f>
      </c>
      <c r="F46" s="2" t="e">
        <f>DEVSQ(Table51[Jackson (duration)])</f>
      </c>
      <c r="G46" s="2" t="e">
        <f>DEVSQ(Table51[JVM baked full (duration)])</f>
      </c>
      <c r="H46" s="2" t="e">
        <f>DEVSQ(Table51[JVM baked minimal (duration)])</f>
      </c>
      <c r="I46" s="2" t="e">
        <f>DEVSQ(Table51[Protobuf.NET (duration)])</f>
      </c>
    </row>
    <row r="47" spans="2:11" x14ac:dyDescent="0.25">
      <c r="B47" t="s">
        <v>1</v>
      </c>
      <c r="C47" s="2" t="e">
        <f>DEVSQ(Table52[Newtonsoft (duration)])</f>
      </c>
      <c r="D47" s="2" t="e">
        <f>DEVSQ(Table52[.NET baked full (duration)])</f>
      </c>
      <c r="E47" s="2" t="e">
        <f>DEVSQ(Table52[.NET baked minimal (duration)])</f>
      </c>
      <c r="F47" s="2" t="e">
        <f>DEVSQ(Table52[Jackson (duration)])</f>
      </c>
      <c r="G47" s="2" t="e">
        <f>DEVSQ(Table52[JVM baked full (duration)])</f>
      </c>
      <c r="H47" s="2" t="e">
        <f>DEVSQ(Table52[JVM baked minimal (duration)])</f>
      </c>
      <c r="I47" s="2" t="e">
        <f>DEVSQ(Table52[Protobuf.NET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153</v>
      </c>
      <c r="C52">
        <v>1016479</v>
      </c>
      <c r="D52">
        <v>56</v>
      </c>
      <c r="E52">
        <v>1017890</v>
      </c>
      <c r="F52">
        <v>58</v>
      </c>
      <c r="G52">
        <v>1016479</v>
      </c>
      <c r="H52">
        <v>515</v>
      </c>
      <c r="I52">
        <v>977890</v>
      </c>
      <c r="J52">
        <v>281</v>
      </c>
      <c r="K52">
        <v>977890</v>
      </c>
      <c r="L52">
        <v>297</v>
      </c>
      <c r="M52">
        <v>976479</v>
      </c>
      <c r="N52">
        <v>66</v>
      </c>
      <c r="O52">
        <v>289670</v>
      </c>
    </row>
    <row r="53" spans="2:15" x14ac:dyDescent="0.25">
      <c r="B53">
        <v>155</v>
      </c>
      <c r="C53">
        <v>1016479</v>
      </c>
      <c r="D53">
        <v>56</v>
      </c>
      <c r="E53">
        <v>1017890</v>
      </c>
      <c r="F53">
        <v>57</v>
      </c>
      <c r="G53">
        <v>1016479</v>
      </c>
      <c r="H53">
        <v>546</v>
      </c>
      <c r="I53">
        <v>977890</v>
      </c>
      <c r="J53">
        <v>297</v>
      </c>
      <c r="K53">
        <v>977890</v>
      </c>
      <c r="L53">
        <v>296</v>
      </c>
      <c r="M53">
        <v>976479</v>
      </c>
      <c r="N53">
        <v>67</v>
      </c>
      <c r="O53">
        <v>289670</v>
      </c>
    </row>
    <row r="54" spans="2:15" x14ac:dyDescent="0.25">
      <c r="B54">
        <v>155</v>
      </c>
      <c r="C54">
        <v>1016479</v>
      </c>
      <c r="D54">
        <v>55</v>
      </c>
      <c r="E54">
        <v>1017890</v>
      </c>
      <c r="F54">
        <v>59</v>
      </c>
      <c r="G54">
        <v>1016479</v>
      </c>
      <c r="H54">
        <v>531</v>
      </c>
      <c r="I54">
        <v>977890</v>
      </c>
      <c r="J54">
        <v>312</v>
      </c>
      <c r="K54">
        <v>977890</v>
      </c>
      <c r="L54">
        <v>312</v>
      </c>
      <c r="M54">
        <v>976479</v>
      </c>
      <c r="N54">
        <v>67</v>
      </c>
      <c r="O54">
        <v>289670</v>
      </c>
    </row>
    <row r="55" spans="2:15" x14ac:dyDescent="0.25">
      <c r="B55">
        <v>157</v>
      </c>
      <c r="C55">
        <v>1016479</v>
      </c>
      <c r="D55">
        <v>56</v>
      </c>
      <c r="E55">
        <v>1017890</v>
      </c>
      <c r="F55">
        <v>56</v>
      </c>
      <c r="G55">
        <v>1016479</v>
      </c>
      <c r="H55">
        <v>515</v>
      </c>
      <c r="I55">
        <v>977890</v>
      </c>
      <c r="J55">
        <v>280</v>
      </c>
      <c r="K55">
        <v>977890</v>
      </c>
      <c r="L55">
        <v>312</v>
      </c>
      <c r="M55">
        <v>976479</v>
      </c>
      <c r="N55">
        <v>66</v>
      </c>
      <c r="O55">
        <v>289670</v>
      </c>
    </row>
    <row r="56" spans="2:15" x14ac:dyDescent="0.25">
      <c r="B56">
        <v>155</v>
      </c>
      <c r="C56">
        <v>1016479</v>
      </c>
      <c r="D56">
        <v>57</v>
      </c>
      <c r="E56">
        <v>1017890</v>
      </c>
      <c r="F56">
        <v>57</v>
      </c>
      <c r="G56">
        <v>1016479</v>
      </c>
      <c r="H56">
        <v>530</v>
      </c>
      <c r="I56">
        <v>977890</v>
      </c>
      <c r="J56">
        <v>312</v>
      </c>
      <c r="K56">
        <v>977890</v>
      </c>
      <c r="L56">
        <v>297</v>
      </c>
      <c r="M56">
        <v>976479</v>
      </c>
      <c r="N56">
        <v>66</v>
      </c>
      <c r="O56">
        <v>289670</v>
      </c>
    </row>
    <row r="57" spans="2:15" x14ac:dyDescent="0.25">
      <c r="B57">
        <v>157</v>
      </c>
      <c r="C57">
        <v>1016479</v>
      </c>
      <c r="D57">
        <v>55</v>
      </c>
      <c r="E57">
        <v>1017890</v>
      </c>
      <c r="F57">
        <v>56</v>
      </c>
      <c r="G57">
        <v>1016479</v>
      </c>
      <c r="H57">
        <v>515</v>
      </c>
      <c r="I57">
        <v>977890</v>
      </c>
      <c r="J57">
        <v>297</v>
      </c>
      <c r="K57">
        <v>977890</v>
      </c>
      <c r="L57">
        <v>296</v>
      </c>
      <c r="M57">
        <v>976479</v>
      </c>
      <c r="N57">
        <v>70</v>
      </c>
      <c r="O57">
        <v>289670</v>
      </c>
    </row>
    <row r="58" spans="2:15" x14ac:dyDescent="0.25">
      <c r="B58">
        <v>155</v>
      </c>
      <c r="C58">
        <v>1006479</v>
      </c>
      <c r="D58">
        <v>54</v>
      </c>
      <c r="E58">
        <v>1017890</v>
      </c>
      <c r="F58">
        <v>56</v>
      </c>
      <c r="G58">
        <v>1016479</v>
      </c>
      <c r="H58">
        <v>515</v>
      </c>
      <c r="I58">
        <v>977890</v>
      </c>
      <c r="J58">
        <v>312</v>
      </c>
      <c r="K58">
        <v>977890</v>
      </c>
      <c r="L58">
        <v>312</v>
      </c>
      <c r="M58">
        <v>976479</v>
      </c>
      <c r="N58">
        <v>66</v>
      </c>
      <c r="O58">
        <v>289670</v>
      </c>
    </row>
    <row r="59" spans="2:15" x14ac:dyDescent="0.25">
      <c r="B59">
        <v>152</v>
      </c>
      <c r="C59">
        <v>1016479</v>
      </c>
      <c r="D59">
        <v>57</v>
      </c>
      <c r="E59">
        <v>1017890</v>
      </c>
      <c r="F59">
        <v>56</v>
      </c>
      <c r="G59">
        <v>1016479</v>
      </c>
      <c r="H59">
        <v>515</v>
      </c>
      <c r="I59">
        <v>977890</v>
      </c>
      <c r="J59">
        <v>297</v>
      </c>
      <c r="K59">
        <v>977890</v>
      </c>
      <c r="L59">
        <v>312</v>
      </c>
      <c r="M59">
        <v>976479</v>
      </c>
      <c r="N59">
        <v>66</v>
      </c>
      <c r="O59">
        <v>289670</v>
      </c>
    </row>
    <row r="60" spans="2:15" x14ac:dyDescent="0.25">
      <c r="B60">
        <v>154</v>
      </c>
      <c r="C60">
        <v>1016479</v>
      </c>
      <c r="D60">
        <v>58</v>
      </c>
      <c r="E60">
        <v>1017890</v>
      </c>
      <c r="F60">
        <v>56</v>
      </c>
      <c r="G60">
        <v>1016479</v>
      </c>
      <c r="H60">
        <v>515</v>
      </c>
      <c r="I60">
        <v>977890</v>
      </c>
      <c r="J60">
        <v>296</v>
      </c>
      <c r="K60">
        <v>977890</v>
      </c>
      <c r="L60">
        <v>281</v>
      </c>
      <c r="M60">
        <v>976479</v>
      </c>
      <c r="N60">
        <v>67</v>
      </c>
      <c r="O60">
        <v>289670</v>
      </c>
    </row>
    <row r="61" spans="2:15" x14ac:dyDescent="0.25">
      <c r="B61">
        <v>157</v>
      </c>
      <c r="C61">
        <v>1016479</v>
      </c>
      <c r="D61">
        <v>55</v>
      </c>
      <c r="E61">
        <v>1017890</v>
      </c>
      <c r="F61">
        <v>58</v>
      </c>
      <c r="G61">
        <v>1016479</v>
      </c>
      <c r="H61">
        <v>514</v>
      </c>
      <c r="I61">
        <v>977890</v>
      </c>
      <c r="J61">
        <v>296</v>
      </c>
      <c r="K61">
        <v>977890</v>
      </c>
      <c r="L61">
        <v>297</v>
      </c>
      <c r="M61">
        <v>976479</v>
      </c>
      <c r="N61">
        <v>66</v>
      </c>
      <c r="O61">
        <v>289670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284</v>
      </c>
      <c r="C65">
        <v>120</v>
      </c>
      <c r="D65">
        <v>131</v>
      </c>
      <c r="E65">
        <v>1076</v>
      </c>
      <c r="F65">
        <v>608</v>
      </c>
      <c r="G65">
        <v>640</v>
      </c>
      <c r="H65">
        <v>97</v>
      </c>
      <c r="I65">
        <v>7</v>
      </c>
      <c r="J65">
        <v>93</v>
      </c>
    </row>
    <row r="66" spans="2:15" x14ac:dyDescent="0.25">
      <c r="B66">
        <v>287</v>
      </c>
      <c r="C66">
        <v>118</v>
      </c>
      <c r="D66">
        <v>126</v>
      </c>
      <c r="E66">
        <v>1061</v>
      </c>
      <c r="F66">
        <v>593</v>
      </c>
      <c r="G66">
        <v>593</v>
      </c>
      <c r="H66">
        <v>97</v>
      </c>
      <c r="I66">
        <v>7</v>
      </c>
      <c r="J66">
        <v>109</v>
      </c>
    </row>
    <row r="67" spans="2:15" x14ac:dyDescent="0.25">
      <c r="B67">
        <v>298</v>
      </c>
      <c r="C67">
        <v>118</v>
      </c>
      <c r="D67">
        <v>128</v>
      </c>
      <c r="E67">
        <v>1077</v>
      </c>
      <c r="F67">
        <v>624</v>
      </c>
      <c r="G67">
        <v>624</v>
      </c>
      <c r="H67">
        <v>98</v>
      </c>
      <c r="I67">
        <v>7</v>
      </c>
      <c r="J67">
        <v>93</v>
      </c>
    </row>
    <row r="68" spans="2:15" x14ac:dyDescent="0.25">
      <c r="B68">
        <v>294</v>
      </c>
      <c r="C68">
        <v>117</v>
      </c>
      <c r="D68">
        <v>128</v>
      </c>
      <c r="E68">
        <v>1061</v>
      </c>
      <c r="F68">
        <v>624</v>
      </c>
      <c r="G68">
        <v>609</v>
      </c>
      <c r="H68">
        <v>97</v>
      </c>
      <c r="I68">
        <v>8</v>
      </c>
      <c r="J68">
        <v>78</v>
      </c>
    </row>
    <row r="69" spans="2:15" x14ac:dyDescent="0.25">
      <c r="B69">
        <v>286</v>
      </c>
      <c r="C69">
        <v>116</v>
      </c>
      <c r="D69">
        <v>127</v>
      </c>
      <c r="E69">
        <v>1076</v>
      </c>
      <c r="F69">
        <v>624</v>
      </c>
      <c r="G69">
        <v>593</v>
      </c>
      <c r="H69">
        <v>97</v>
      </c>
      <c r="I69">
        <v>8</v>
      </c>
      <c r="J69">
        <v>94</v>
      </c>
    </row>
    <row r="70" spans="2:15" x14ac:dyDescent="0.25">
      <c r="B70">
        <v>282</v>
      </c>
      <c r="C70">
        <v>117</v>
      </c>
      <c r="D70">
        <v>128</v>
      </c>
      <c r="E70">
        <v>1061</v>
      </c>
      <c r="F70">
        <v>609</v>
      </c>
      <c r="G70">
        <v>593</v>
      </c>
      <c r="H70">
        <v>98</v>
      </c>
      <c r="I70">
        <v>8</v>
      </c>
      <c r="J70">
        <v>94</v>
      </c>
    </row>
    <row r="71" spans="2:15" x14ac:dyDescent="0.25">
      <c r="B71">
        <v>301</v>
      </c>
      <c r="C71">
        <v>119</v>
      </c>
      <c r="D71">
        <v>128</v>
      </c>
      <c r="E71">
        <v>1077</v>
      </c>
      <c r="F71">
        <v>609</v>
      </c>
      <c r="G71">
        <v>624</v>
      </c>
      <c r="H71">
        <v>96</v>
      </c>
      <c r="I71">
        <v>8</v>
      </c>
      <c r="J71">
        <v>94</v>
      </c>
    </row>
    <row r="72" spans="2:15" x14ac:dyDescent="0.25">
      <c r="B72">
        <v>290</v>
      </c>
      <c r="C72">
        <v>121</v>
      </c>
      <c r="D72">
        <v>125</v>
      </c>
      <c r="E72">
        <v>1108</v>
      </c>
      <c r="F72">
        <v>608</v>
      </c>
      <c r="G72">
        <v>624</v>
      </c>
      <c r="H72">
        <v>99</v>
      </c>
      <c r="I72">
        <v>8</v>
      </c>
      <c r="J72">
        <v>94</v>
      </c>
    </row>
    <row r="73" spans="2:15" x14ac:dyDescent="0.25">
      <c r="B73">
        <v>289</v>
      </c>
      <c r="C73">
        <v>122</v>
      </c>
      <c r="D73">
        <v>127</v>
      </c>
      <c r="E73">
        <v>1060</v>
      </c>
      <c r="F73">
        <v>608</v>
      </c>
      <c r="G73">
        <v>609</v>
      </c>
      <c r="H73">
        <v>97</v>
      </c>
      <c r="I73">
        <v>7</v>
      </c>
      <c r="J73">
        <v>94</v>
      </c>
    </row>
    <row r="74" spans="2:15" x14ac:dyDescent="0.25">
      <c r="B74">
        <v>298</v>
      </c>
      <c r="C74">
        <v>120</v>
      </c>
      <c r="D74">
        <v>128</v>
      </c>
      <c r="E74">
        <v>1061</v>
      </c>
      <c r="F74">
        <v>624</v>
      </c>
      <c r="G74">
        <v>593</v>
      </c>
      <c r="H74">
        <v>97</v>
      </c>
      <c r="I74">
        <v>7</v>
      </c>
      <c r="J74">
        <v>93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67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AVERAGE(Table55[Newtonsoft (duration)])</f>
      </c>
      <c r="D38" s="2" t="e">
        <f>AVERAGE(Table55[.NET baked full (duration)])</f>
      </c>
      <c r="E38" s="2" t="e">
        <f>AVERAGE(Table55[.NET baked minimal (duration)])</f>
      </c>
      <c r="F38" s="2" t="e">
        <f>AVERAGE(Table55[Jackson (duration)])</f>
      </c>
      <c r="G38" s="2" t="e">
        <f>AVERAGE(Table55[JVM baked full (duration)])</f>
      </c>
      <c r="H38" s="2" t="e">
        <f>AVERAGE(Table55[JVM baked minimal (duration)])</f>
      </c>
      <c r="I38" s="2" t="e">
        <f>AVERAGE(Table55[Protobuf.NET (duration)])</f>
      </c>
      <c r="J38" s="2" t="e">
        <f>AVERAGE(Table56[.NET (instance only)])</f>
      </c>
      <c r="K38" s="2" t="e">
        <f>AVERAGE(Table56[JVM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AVERAGE(Table56[Newtonsoft (duration)])</f>
      </c>
      <c r="D40" s="2" t="e">
        <f>AVERAGE(Table56[.NET baked full (duration)])</f>
      </c>
      <c r="E40" s="2" t="e">
        <f>AVERAGE(Table56[.NET baked minimal (duration)])</f>
      </c>
      <c r="F40" s="2" t="e">
        <f>AVERAGE(Table56[Jackson (duration)])</f>
      </c>
      <c r="G40" s="2" t="e">
        <f>AVERAGE(Table56[JVM baked full (duration)])</f>
      </c>
      <c r="H40" s="2" t="e">
        <f>AVERAGE(Table56[JVM baked minimal (duration)])</f>
      </c>
      <c r="I40" s="2" t="e">
        <f>AVERAGE(Table56[Protobuf.NET (duration)])</f>
      </c>
      <c r="J40" s="2"/>
      <c r="K40" s="2"/>
    </row>
    <row r="41" spans="2:11" x14ac:dyDescent="0.25">
      <c r="B41" t="s">
        <v>8</v>
      </c>
      <c r="C41" s="3" t="e">
        <f>AVERAGE(Table55[Newtonsoft (size)])</f>
      </c>
      <c r="D41" s="3" t="e">
        <f>AVERAGE(Table55[.NET baked full (size)])</f>
      </c>
      <c r="E41" s="3" t="e">
        <f>AVERAGE(Table55[.NET baked minimal (size)])</f>
      </c>
      <c r="F41" s="3" t="e">
        <f>AVERAGE(Table55[Jackson (size)])</f>
      </c>
      <c r="G41" s="3" t="e">
        <f>AVERAGE(Table55[JVM baked full (size)])</f>
      </c>
      <c r="H41" s="3" t="e">
        <f>AVERAGE(Table55[JVM baked minimal (size)])</f>
      </c>
      <c r="I41" s="3" t="e">
        <f>AVERAGE(Table55[Protobuf.NET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DEVSQ(Table55[Newtonsoft (duration)])</f>
      </c>
      <c r="D46" s="2" t="e">
        <f>DEVSQ(Table55[.NET baked full (duration)])</f>
      </c>
      <c r="E46" s="2" t="e">
        <f>DEVSQ(Table55[.NET baked minimal (duration)])</f>
      </c>
      <c r="F46" s="2" t="e">
        <f>DEVSQ(Table55[Jackson (duration)])</f>
      </c>
      <c r="G46" s="2" t="e">
        <f>DEVSQ(Table55[JVM baked full (duration)])</f>
      </c>
      <c r="H46" s="2" t="e">
        <f>DEVSQ(Table55[JVM baked minimal (duration)])</f>
      </c>
      <c r="I46" s="2" t="e">
        <f>DEVSQ(Table55[Protobuf.NET (duration)])</f>
      </c>
    </row>
    <row r="47" spans="2:11" x14ac:dyDescent="0.25">
      <c r="B47" t="s">
        <v>1</v>
      </c>
      <c r="C47" s="2" t="e">
        <f>DEVSQ(Table56[Newtonsoft (duration)])</f>
      </c>
      <c r="D47" s="2" t="e">
        <f>DEVSQ(Table56[.NET baked full (duration)])</f>
      </c>
      <c r="E47" s="2" t="e">
        <f>DEVSQ(Table56[.NET baked minimal (duration)])</f>
      </c>
      <c r="F47" s="2" t="e">
        <f>DEVSQ(Table56[Jackson (duration)])</f>
      </c>
      <c r="G47" s="2" t="e">
        <f>DEVSQ(Table56[JVM baked full (duration)])</f>
      </c>
      <c r="H47" s="2" t="e">
        <f>DEVSQ(Table56[JVM baked minimal (duration)])</f>
      </c>
      <c r="I47" s="2" t="e">
        <f>DEVSQ(Table56[Protobuf.NET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513</v>
      </c>
      <c r="C52">
        <v>10376479</v>
      </c>
      <c r="D52">
        <v>442</v>
      </c>
      <c r="E52">
        <v>10377890</v>
      </c>
      <c r="F52">
        <v>442</v>
      </c>
      <c r="G52">
        <v>10376479</v>
      </c>
      <c r="H52">
        <v>998</v>
      </c>
      <c r="I52">
        <v>9977890</v>
      </c>
      <c r="J52">
        <v>593</v>
      </c>
      <c r="K52">
        <v>9977890</v>
      </c>
      <c r="L52">
        <v>592</v>
      </c>
      <c r="M52">
        <v>9976479</v>
      </c>
      <c r="N52">
        <v>203</v>
      </c>
      <c r="O52">
        <v>3070486</v>
      </c>
    </row>
    <row r="53" spans="2:15" x14ac:dyDescent="0.25">
      <c r="B53">
        <v>538</v>
      </c>
      <c r="C53">
        <v>10376479</v>
      </c>
      <c r="D53">
        <v>427</v>
      </c>
      <c r="E53">
        <v>10377890</v>
      </c>
      <c r="F53">
        <v>435</v>
      </c>
      <c r="G53">
        <v>10376479</v>
      </c>
      <c r="H53">
        <v>967</v>
      </c>
      <c r="I53">
        <v>9977890</v>
      </c>
      <c r="J53">
        <v>593</v>
      </c>
      <c r="K53">
        <v>9977890</v>
      </c>
      <c r="L53">
        <v>577</v>
      </c>
      <c r="M53">
        <v>9976479</v>
      </c>
      <c r="N53">
        <v>201</v>
      </c>
      <c r="O53">
        <v>3070486</v>
      </c>
    </row>
    <row r="54" spans="2:15" x14ac:dyDescent="0.25">
      <c r="B54">
        <v>512</v>
      </c>
      <c r="C54">
        <v>10376479</v>
      </c>
      <c r="D54">
        <v>441</v>
      </c>
      <c r="E54">
        <v>10377890</v>
      </c>
      <c r="F54">
        <v>435</v>
      </c>
      <c r="G54">
        <v>10376479</v>
      </c>
      <c r="H54">
        <v>967</v>
      </c>
      <c r="I54">
        <v>9977890</v>
      </c>
      <c r="J54">
        <v>577</v>
      </c>
      <c r="K54">
        <v>9977890</v>
      </c>
      <c r="L54">
        <v>577</v>
      </c>
      <c r="M54">
        <v>9976479</v>
      </c>
      <c r="N54">
        <v>204</v>
      </c>
      <c r="O54">
        <v>3070486</v>
      </c>
    </row>
    <row r="55" spans="2:15" x14ac:dyDescent="0.25">
      <c r="B55">
        <v>513</v>
      </c>
      <c r="C55">
        <v>10376479</v>
      </c>
      <c r="D55">
        <v>436</v>
      </c>
      <c r="E55">
        <v>10277890</v>
      </c>
      <c r="F55">
        <v>449</v>
      </c>
      <c r="G55">
        <v>10376479</v>
      </c>
      <c r="H55">
        <v>983</v>
      </c>
      <c r="I55">
        <v>9977890</v>
      </c>
      <c r="J55">
        <v>577</v>
      </c>
      <c r="K55">
        <v>9977890</v>
      </c>
      <c r="L55">
        <v>593</v>
      </c>
      <c r="M55">
        <v>9976479</v>
      </c>
      <c r="N55">
        <v>204</v>
      </c>
      <c r="O55">
        <v>3070486</v>
      </c>
    </row>
    <row r="56" spans="2:15" x14ac:dyDescent="0.25">
      <c r="B56">
        <v>540</v>
      </c>
      <c r="C56">
        <v>10276479</v>
      </c>
      <c r="D56">
        <v>445</v>
      </c>
      <c r="E56">
        <v>10377890</v>
      </c>
      <c r="F56">
        <v>448</v>
      </c>
      <c r="G56">
        <v>10376479</v>
      </c>
      <c r="H56">
        <v>999</v>
      </c>
      <c r="I56">
        <v>9977890</v>
      </c>
      <c r="J56">
        <v>578</v>
      </c>
      <c r="K56">
        <v>9977890</v>
      </c>
      <c r="L56">
        <v>593</v>
      </c>
      <c r="M56">
        <v>9976479</v>
      </c>
      <c r="N56">
        <v>205</v>
      </c>
      <c r="O56">
        <v>3070486</v>
      </c>
    </row>
    <row r="57" spans="2:15" x14ac:dyDescent="0.25">
      <c r="B57">
        <v>536</v>
      </c>
      <c r="C57">
        <v>10376479</v>
      </c>
      <c r="D57">
        <v>437</v>
      </c>
      <c r="E57">
        <v>10277890</v>
      </c>
      <c r="F57">
        <v>441</v>
      </c>
      <c r="G57">
        <v>10376479</v>
      </c>
      <c r="H57">
        <v>967</v>
      </c>
      <c r="I57">
        <v>9977890</v>
      </c>
      <c r="J57">
        <v>593</v>
      </c>
      <c r="K57">
        <v>9977890</v>
      </c>
      <c r="L57">
        <v>593</v>
      </c>
      <c r="M57">
        <v>9976479</v>
      </c>
      <c r="N57">
        <v>201</v>
      </c>
      <c r="O57">
        <v>3070486</v>
      </c>
    </row>
    <row r="58" spans="2:15" x14ac:dyDescent="0.25">
      <c r="B58">
        <v>511</v>
      </c>
      <c r="C58">
        <v>10276479</v>
      </c>
      <c r="D58">
        <v>443</v>
      </c>
      <c r="E58">
        <v>10377890</v>
      </c>
      <c r="F58">
        <v>439</v>
      </c>
      <c r="G58">
        <v>10376479</v>
      </c>
      <c r="H58">
        <v>967</v>
      </c>
      <c r="I58">
        <v>9977890</v>
      </c>
      <c r="J58">
        <v>577</v>
      </c>
      <c r="K58">
        <v>9977890</v>
      </c>
      <c r="L58">
        <v>578</v>
      </c>
      <c r="M58">
        <v>9976479</v>
      </c>
      <c r="N58">
        <v>204</v>
      </c>
      <c r="O58">
        <v>3070486</v>
      </c>
    </row>
    <row r="59" spans="2:15" x14ac:dyDescent="0.25">
      <c r="B59">
        <v>531</v>
      </c>
      <c r="C59">
        <v>10276479</v>
      </c>
      <c r="D59">
        <v>433</v>
      </c>
      <c r="E59">
        <v>10377890</v>
      </c>
      <c r="F59">
        <v>439</v>
      </c>
      <c r="G59">
        <v>10376479</v>
      </c>
      <c r="H59">
        <v>1029</v>
      </c>
      <c r="I59">
        <v>9977890</v>
      </c>
      <c r="J59">
        <v>608</v>
      </c>
      <c r="K59">
        <v>9977890</v>
      </c>
      <c r="L59">
        <v>577</v>
      </c>
      <c r="M59">
        <v>9976479</v>
      </c>
      <c r="N59">
        <v>203</v>
      </c>
      <c r="O59">
        <v>3070486</v>
      </c>
    </row>
    <row r="60" spans="2:15" x14ac:dyDescent="0.25">
      <c r="B60">
        <v>510</v>
      </c>
      <c r="C60">
        <v>10376479</v>
      </c>
      <c r="D60">
        <v>437</v>
      </c>
      <c r="E60">
        <v>10377890</v>
      </c>
      <c r="F60">
        <v>437</v>
      </c>
      <c r="G60">
        <v>10376479</v>
      </c>
      <c r="H60">
        <v>998</v>
      </c>
      <c r="I60">
        <v>9977890</v>
      </c>
      <c r="J60">
        <v>593</v>
      </c>
      <c r="K60">
        <v>9977890</v>
      </c>
      <c r="L60">
        <v>562</v>
      </c>
      <c r="M60">
        <v>9976479</v>
      </c>
      <c r="N60">
        <v>203</v>
      </c>
      <c r="O60">
        <v>3070486</v>
      </c>
    </row>
    <row r="61" spans="2:15" x14ac:dyDescent="0.25">
      <c r="B61">
        <v>510</v>
      </c>
      <c r="C61">
        <v>10376479</v>
      </c>
      <c r="D61">
        <v>432</v>
      </c>
      <c r="E61">
        <v>10377890</v>
      </c>
      <c r="F61">
        <v>434</v>
      </c>
      <c r="G61">
        <v>10376479</v>
      </c>
      <c r="H61">
        <v>951</v>
      </c>
      <c r="I61">
        <v>9977890</v>
      </c>
      <c r="J61">
        <v>593</v>
      </c>
      <c r="K61">
        <v>9977890</v>
      </c>
      <c r="L61">
        <v>593</v>
      </c>
      <c r="M61">
        <v>9976479</v>
      </c>
      <c r="N61">
        <v>203</v>
      </c>
      <c r="O61">
        <v>3070486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1385</v>
      </c>
      <c r="C65">
        <v>905</v>
      </c>
      <c r="D65">
        <v>1002</v>
      </c>
      <c r="E65">
        <v>2215</v>
      </c>
      <c r="F65">
        <v>1310</v>
      </c>
      <c r="G65">
        <v>1295</v>
      </c>
      <c r="H65">
        <v>397</v>
      </c>
      <c r="I65">
        <v>82</v>
      </c>
      <c r="J65">
        <v>125</v>
      </c>
    </row>
    <row r="66" spans="2:15" x14ac:dyDescent="0.25">
      <c r="B66">
        <v>1362</v>
      </c>
      <c r="C66">
        <v>927</v>
      </c>
      <c r="D66">
        <v>995</v>
      </c>
      <c r="E66">
        <v>2184</v>
      </c>
      <c r="F66">
        <v>1279</v>
      </c>
      <c r="G66">
        <v>1295</v>
      </c>
      <c r="H66">
        <v>395</v>
      </c>
      <c r="I66">
        <v>78</v>
      </c>
      <c r="J66">
        <v>141</v>
      </c>
    </row>
    <row r="67" spans="2:15" x14ac:dyDescent="0.25">
      <c r="B67">
        <v>1375</v>
      </c>
      <c r="C67">
        <v>917</v>
      </c>
      <c r="D67">
        <v>1001</v>
      </c>
      <c r="E67">
        <v>2184</v>
      </c>
      <c r="F67">
        <v>1326</v>
      </c>
      <c r="G67">
        <v>1295</v>
      </c>
      <c r="H67">
        <v>396</v>
      </c>
      <c r="I67">
        <v>81</v>
      </c>
      <c r="J67">
        <v>125</v>
      </c>
    </row>
    <row r="68" spans="2:15" x14ac:dyDescent="0.25">
      <c r="B68">
        <v>1363</v>
      </c>
      <c r="C68">
        <v>923</v>
      </c>
      <c r="D68">
        <v>999</v>
      </c>
      <c r="E68">
        <v>2262</v>
      </c>
      <c r="F68">
        <v>1311</v>
      </c>
      <c r="G68">
        <v>1326</v>
      </c>
      <c r="H68">
        <v>401</v>
      </c>
      <c r="I68">
        <v>83</v>
      </c>
      <c r="J68">
        <v>140</v>
      </c>
    </row>
    <row r="69" spans="2:15" x14ac:dyDescent="0.25">
      <c r="B69">
        <v>1370</v>
      </c>
      <c r="C69">
        <v>921</v>
      </c>
      <c r="D69">
        <v>993</v>
      </c>
      <c r="E69">
        <v>2246</v>
      </c>
      <c r="F69">
        <v>1279</v>
      </c>
      <c r="G69">
        <v>1310</v>
      </c>
      <c r="H69">
        <v>389</v>
      </c>
      <c r="I69">
        <v>80</v>
      </c>
      <c r="J69">
        <v>140</v>
      </c>
    </row>
    <row r="70" spans="2:15" x14ac:dyDescent="0.25">
      <c r="B70">
        <v>1355</v>
      </c>
      <c r="C70">
        <v>925</v>
      </c>
      <c r="D70">
        <v>997</v>
      </c>
      <c r="E70">
        <v>2215</v>
      </c>
      <c r="F70">
        <v>1326</v>
      </c>
      <c r="G70">
        <v>1279</v>
      </c>
      <c r="H70">
        <v>394</v>
      </c>
      <c r="I70">
        <v>81</v>
      </c>
      <c r="J70">
        <v>140</v>
      </c>
    </row>
    <row r="71" spans="2:15" x14ac:dyDescent="0.25">
      <c r="B71">
        <v>1429</v>
      </c>
      <c r="C71">
        <v>926</v>
      </c>
      <c r="D71">
        <v>1000</v>
      </c>
      <c r="E71">
        <v>2215</v>
      </c>
      <c r="F71">
        <v>1326</v>
      </c>
      <c r="G71">
        <v>1311</v>
      </c>
      <c r="H71">
        <v>394</v>
      </c>
      <c r="I71">
        <v>85</v>
      </c>
      <c r="J71">
        <v>125</v>
      </c>
    </row>
    <row r="72" spans="2:15" x14ac:dyDescent="0.25">
      <c r="B72">
        <v>1407</v>
      </c>
      <c r="C72">
        <v>928</v>
      </c>
      <c r="D72">
        <v>1004</v>
      </c>
      <c r="E72">
        <v>2216</v>
      </c>
      <c r="F72">
        <v>1326</v>
      </c>
      <c r="G72">
        <v>1310</v>
      </c>
      <c r="H72">
        <v>398</v>
      </c>
      <c r="I72">
        <v>80</v>
      </c>
      <c r="J72">
        <v>125</v>
      </c>
    </row>
    <row r="73" spans="2:15" x14ac:dyDescent="0.25">
      <c r="B73">
        <v>1391</v>
      </c>
      <c r="C73">
        <v>940</v>
      </c>
      <c r="D73">
        <v>999</v>
      </c>
      <c r="E73">
        <v>2199</v>
      </c>
      <c r="F73">
        <v>1279</v>
      </c>
      <c r="G73">
        <v>1295</v>
      </c>
      <c r="H73">
        <v>393</v>
      </c>
      <c r="I73">
        <v>84</v>
      </c>
      <c r="J73">
        <v>124</v>
      </c>
    </row>
    <row r="74" spans="2:15" x14ac:dyDescent="0.25">
      <c r="B74">
        <v>1385</v>
      </c>
      <c r="C74">
        <v>938</v>
      </c>
      <c r="D74">
        <v>1014</v>
      </c>
      <c r="E74">
        <v>2215</v>
      </c>
      <c r="F74">
        <v>1341</v>
      </c>
      <c r="G74">
        <v>1326</v>
      </c>
      <c r="H74">
        <v>398</v>
      </c>
      <c r="I74">
        <v>79</v>
      </c>
      <c r="J74">
        <v>140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68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AVERAGE(Table59[Newtonsoft (duration)])</f>
      </c>
      <c r="D38" s="2" t="e">
        <f>AVERAGE(Table59[.NET baked full (duration)])</f>
      </c>
      <c r="E38" s="2" t="e">
        <f>AVERAGE(Table59[.NET baked minimal (duration)])</f>
      </c>
      <c r="F38" s="2" t="e">
        <f>AVERAGE(Table59[Jackson (duration)])</f>
      </c>
      <c r="G38" s="2" t="e">
        <f>AVERAGE(Table59[JVM baked full (duration)])</f>
      </c>
      <c r="H38" s="2" t="e">
        <f>AVERAGE(Table59[JVM baked minimal (duration)])</f>
      </c>
      <c r="I38" s="2" t="e">
        <f>AVERAGE(Table59[Protobuf.NET (duration)])</f>
      </c>
      <c r="J38" s="2" t="e">
        <f>AVERAGE(Table60[.NET (instance only)])</f>
      </c>
      <c r="K38" s="2" t="e">
        <f>AVERAGE(Table60[JVM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AVERAGE(Table60[Newtonsoft (duration)])</f>
      </c>
      <c r="D40" s="2" t="e">
        <f>AVERAGE(Table60[.NET baked full (duration)])</f>
      </c>
      <c r="E40" s="2" t="e">
        <f>AVERAGE(Table60[.NET baked minimal (duration)])</f>
      </c>
      <c r="F40" s="2" t="e">
        <f>AVERAGE(Table60[Jackson (duration)])</f>
      </c>
      <c r="G40" s="2" t="e">
        <f>AVERAGE(Table60[JVM baked full (duration)])</f>
      </c>
      <c r="H40" s="2" t="e">
        <f>AVERAGE(Table60[JVM baked minimal (duration)])</f>
      </c>
      <c r="I40" s="2" t="e">
        <f>AVERAGE(Table60[Protobuf.NET (duration)])</f>
      </c>
      <c r="J40" s="2"/>
      <c r="K40" s="2"/>
    </row>
    <row r="41" spans="2:11" x14ac:dyDescent="0.25">
      <c r="B41" t="s">
        <v>8</v>
      </c>
      <c r="C41" s="3" t="e">
        <f>AVERAGE(Table59[Newtonsoft (size)])</f>
      </c>
      <c r="D41" s="3" t="e">
        <f>AVERAGE(Table59[.NET baked full (size)])</f>
      </c>
      <c r="E41" s="3" t="e">
        <f>AVERAGE(Table59[.NET baked minimal (size)])</f>
      </c>
      <c r="F41" s="3" t="e">
        <f>AVERAGE(Table59[Jackson (size)])</f>
      </c>
      <c r="G41" s="3" t="e">
        <f>AVERAGE(Table59[JVM baked full (size)])</f>
      </c>
      <c r="H41" s="3" t="e">
        <f>AVERAGE(Table59[JVM baked minimal (size)])</f>
      </c>
      <c r="I41" s="3" t="e">
        <f>AVERAGE(Table59[Protobuf.NET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DEVSQ(Table59[Newtonsoft (duration)])</f>
      </c>
      <c r="D46" s="2" t="e">
        <f>DEVSQ(Table59[.NET baked full (duration)])</f>
      </c>
      <c r="E46" s="2" t="e">
        <f>DEVSQ(Table59[.NET baked minimal (duration)])</f>
      </c>
      <c r="F46" s="2" t="e">
        <f>DEVSQ(Table59[Jackson (duration)])</f>
      </c>
      <c r="G46" s="2" t="e">
        <f>DEVSQ(Table59[JVM baked full (duration)])</f>
      </c>
      <c r="H46" s="2" t="e">
        <f>DEVSQ(Table59[JVM baked minimal (duration)])</f>
      </c>
      <c r="I46" s="2" t="e">
        <f>DEVSQ(Table59[Protobuf.NET (duration)])</f>
      </c>
    </row>
    <row r="47" spans="2:11" x14ac:dyDescent="0.25">
      <c r="B47" t="s">
        <v>1</v>
      </c>
      <c r="C47" s="2" t="e">
        <f>DEVSQ(Table60[Newtonsoft (duration)])</f>
      </c>
      <c r="D47" s="2" t="e">
        <f>DEVSQ(Table60[.NET baked full (duration)])</f>
      </c>
      <c r="E47" s="2" t="e">
        <f>DEVSQ(Table60[.NET baked minimal (duration)])</f>
      </c>
      <c r="F47" s="2" t="e">
        <f>DEVSQ(Table60[Jackson (duration)])</f>
      </c>
      <c r="G47" s="2" t="e">
        <f>DEVSQ(Table60[JVM baked full (duration)])</f>
      </c>
      <c r="H47" s="2" t="e">
        <f>DEVSQ(Table60[JVM baked minimal (duration)])</f>
      </c>
      <c r="I47" s="2" t="e">
        <f>DEVSQ(Table60[Protobuf.NET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4145</v>
      </c>
      <c r="C52">
        <v>105776479</v>
      </c>
      <c r="D52">
        <v>4245</v>
      </c>
      <c r="E52">
        <v>105777890</v>
      </c>
      <c r="F52">
        <v>4300</v>
      </c>
      <c r="G52">
        <v>105776479</v>
      </c>
      <c r="H52">
        <v>2372</v>
      </c>
      <c r="I52">
        <v>101777890</v>
      </c>
      <c r="J52">
        <v>2527</v>
      </c>
      <c r="K52">
        <v>101777890</v>
      </c>
      <c r="L52">
        <v>2543</v>
      </c>
      <c r="M52">
        <v>101776479</v>
      </c>
      <c r="N52">
        <v>1521</v>
      </c>
      <c r="O52">
        <v>30970486</v>
      </c>
    </row>
    <row r="53" spans="2:15" x14ac:dyDescent="0.25">
      <c r="B53">
        <v>4348</v>
      </c>
      <c r="C53">
        <v>105776479</v>
      </c>
      <c r="D53">
        <v>4268</v>
      </c>
      <c r="E53">
        <v>105777890</v>
      </c>
      <c r="F53">
        <v>4298</v>
      </c>
      <c r="G53">
        <v>105776479</v>
      </c>
      <c r="H53">
        <v>2418</v>
      </c>
      <c r="I53">
        <v>101777890</v>
      </c>
      <c r="J53">
        <v>2527</v>
      </c>
      <c r="K53">
        <v>101777890</v>
      </c>
      <c r="L53">
        <v>2496</v>
      </c>
      <c r="M53">
        <v>101776479</v>
      </c>
      <c r="N53">
        <v>1548</v>
      </c>
      <c r="O53">
        <v>30970486</v>
      </c>
    </row>
    <row r="54" spans="2:15" x14ac:dyDescent="0.25">
      <c r="B54">
        <v>4247</v>
      </c>
      <c r="C54">
        <v>105776479</v>
      </c>
      <c r="D54">
        <v>4171</v>
      </c>
      <c r="E54">
        <v>105777890</v>
      </c>
      <c r="F54">
        <v>4187</v>
      </c>
      <c r="G54">
        <v>105776479</v>
      </c>
      <c r="H54">
        <v>2480</v>
      </c>
      <c r="I54">
        <v>101777890</v>
      </c>
      <c r="J54">
        <v>2590</v>
      </c>
      <c r="K54">
        <v>101777890</v>
      </c>
      <c r="L54">
        <v>2496</v>
      </c>
      <c r="M54">
        <v>101776479</v>
      </c>
      <c r="N54">
        <v>1521</v>
      </c>
      <c r="O54">
        <v>30970486</v>
      </c>
    </row>
    <row r="55" spans="2:15" x14ac:dyDescent="0.25">
      <c r="B55">
        <v>4186</v>
      </c>
      <c r="C55">
        <v>105776479</v>
      </c>
      <c r="D55">
        <v>4319</v>
      </c>
      <c r="E55">
        <v>105777890</v>
      </c>
      <c r="F55">
        <v>4403</v>
      </c>
      <c r="G55">
        <v>105776479</v>
      </c>
      <c r="H55">
        <v>2433</v>
      </c>
      <c r="I55">
        <v>101777890</v>
      </c>
      <c r="J55">
        <v>2496</v>
      </c>
      <c r="K55">
        <v>101777890</v>
      </c>
      <c r="L55">
        <v>2512</v>
      </c>
      <c r="M55">
        <v>101776479</v>
      </c>
      <c r="N55">
        <v>1550</v>
      </c>
      <c r="O55">
        <v>30970486</v>
      </c>
    </row>
    <row r="56" spans="2:15" x14ac:dyDescent="0.25">
      <c r="B56">
        <v>4415</v>
      </c>
      <c r="C56">
        <v>105776479</v>
      </c>
      <c r="D56">
        <v>4159</v>
      </c>
      <c r="E56">
        <v>105777890</v>
      </c>
      <c r="F56">
        <v>4161</v>
      </c>
      <c r="G56">
        <v>105776479</v>
      </c>
      <c r="H56">
        <v>2450</v>
      </c>
      <c r="I56">
        <v>101777890</v>
      </c>
      <c r="J56">
        <v>2449</v>
      </c>
      <c r="K56">
        <v>101777890</v>
      </c>
      <c r="L56">
        <v>2481</v>
      </c>
      <c r="M56">
        <v>101776479</v>
      </c>
      <c r="N56">
        <v>1487</v>
      </c>
      <c r="O56">
        <v>30970486</v>
      </c>
    </row>
    <row r="57" spans="2:15" x14ac:dyDescent="0.25">
      <c r="B57">
        <v>4242</v>
      </c>
      <c r="C57">
        <v>105776479</v>
      </c>
      <c r="D57">
        <v>4223</v>
      </c>
      <c r="E57">
        <v>105777890</v>
      </c>
      <c r="F57">
        <v>4256</v>
      </c>
      <c r="G57">
        <v>105776479</v>
      </c>
      <c r="H57">
        <v>2496</v>
      </c>
      <c r="I57">
        <v>101777890</v>
      </c>
      <c r="J57">
        <v>2543</v>
      </c>
      <c r="K57">
        <v>101777890</v>
      </c>
      <c r="L57">
        <v>2574</v>
      </c>
      <c r="M57">
        <v>101776479</v>
      </c>
      <c r="N57">
        <v>1532</v>
      </c>
      <c r="O57">
        <v>30970486</v>
      </c>
    </row>
    <row r="58" spans="2:15" x14ac:dyDescent="0.25">
      <c r="B58">
        <v>4208</v>
      </c>
      <c r="C58">
        <v>105776479</v>
      </c>
      <c r="D58">
        <v>4335</v>
      </c>
      <c r="E58">
        <v>105777890</v>
      </c>
      <c r="F58">
        <v>4418</v>
      </c>
      <c r="G58">
        <v>105776479</v>
      </c>
      <c r="H58">
        <v>2418</v>
      </c>
      <c r="I58">
        <v>101777890</v>
      </c>
      <c r="J58">
        <v>2605</v>
      </c>
      <c r="K58">
        <v>101777890</v>
      </c>
      <c r="L58">
        <v>2574</v>
      </c>
      <c r="M58">
        <v>101776479</v>
      </c>
      <c r="N58">
        <v>1512</v>
      </c>
      <c r="O58">
        <v>30970486</v>
      </c>
    </row>
    <row r="59" spans="2:15" x14ac:dyDescent="0.25">
      <c r="B59">
        <v>4420</v>
      </c>
      <c r="C59">
        <v>105776479</v>
      </c>
      <c r="D59">
        <v>4344</v>
      </c>
      <c r="E59">
        <v>105777890</v>
      </c>
      <c r="F59">
        <v>4371</v>
      </c>
      <c r="G59">
        <v>105776479</v>
      </c>
      <c r="H59">
        <v>2340</v>
      </c>
      <c r="I59">
        <v>101777890</v>
      </c>
      <c r="J59">
        <v>2558</v>
      </c>
      <c r="K59">
        <v>101777890</v>
      </c>
      <c r="L59">
        <v>2621</v>
      </c>
      <c r="M59">
        <v>101776479</v>
      </c>
      <c r="N59">
        <v>1534</v>
      </c>
      <c r="O59">
        <v>30970486</v>
      </c>
    </row>
    <row r="60" spans="2:15" x14ac:dyDescent="0.25">
      <c r="B60">
        <v>4256</v>
      </c>
      <c r="C60">
        <v>105776479</v>
      </c>
      <c r="D60">
        <v>4331</v>
      </c>
      <c r="E60">
        <v>103777890</v>
      </c>
      <c r="F60">
        <v>4350</v>
      </c>
      <c r="G60">
        <v>105776479</v>
      </c>
      <c r="H60">
        <v>2386</v>
      </c>
      <c r="I60">
        <v>101777890</v>
      </c>
      <c r="J60">
        <v>2621</v>
      </c>
      <c r="K60">
        <v>101777890</v>
      </c>
      <c r="L60">
        <v>2606</v>
      </c>
      <c r="M60">
        <v>101776479</v>
      </c>
      <c r="N60">
        <v>1549</v>
      </c>
      <c r="O60">
        <v>30970486</v>
      </c>
    </row>
    <row r="61" spans="2:15" x14ac:dyDescent="0.25">
      <c r="B61">
        <v>4338</v>
      </c>
      <c r="C61">
        <v>105776479</v>
      </c>
      <c r="D61">
        <v>4441</v>
      </c>
      <c r="E61">
        <v>104777890</v>
      </c>
      <c r="F61">
        <v>4411</v>
      </c>
      <c r="G61">
        <v>105776479</v>
      </c>
      <c r="H61">
        <v>2481</v>
      </c>
      <c r="I61">
        <v>101777890</v>
      </c>
      <c r="J61">
        <v>2637</v>
      </c>
      <c r="K61">
        <v>101777890</v>
      </c>
      <c r="L61">
        <v>2621</v>
      </c>
      <c r="M61">
        <v>101776479</v>
      </c>
      <c r="N61">
        <v>1519</v>
      </c>
      <c r="O61">
        <v>30970486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12991</v>
      </c>
      <c r="C65">
        <v>9315</v>
      </c>
      <c r="D65">
        <v>10174</v>
      </c>
      <c r="E65">
        <v>8346</v>
      </c>
      <c r="F65">
        <v>6911</v>
      </c>
      <c r="G65">
        <v>6708</v>
      </c>
      <c r="H65">
        <v>3464</v>
      </c>
      <c r="I65">
        <v>823</v>
      </c>
      <c r="J65">
        <v>359</v>
      </c>
    </row>
    <row r="66" spans="2:15" x14ac:dyDescent="0.25">
      <c r="B66">
        <v>12388</v>
      </c>
      <c r="C66">
        <v>9296</v>
      </c>
      <c r="D66">
        <v>10226</v>
      </c>
      <c r="E66">
        <v>8112</v>
      </c>
      <c r="F66">
        <v>6801</v>
      </c>
      <c r="G66">
        <v>6724</v>
      </c>
      <c r="H66">
        <v>3530</v>
      </c>
      <c r="I66">
        <v>827</v>
      </c>
      <c r="J66">
        <v>359</v>
      </c>
    </row>
    <row r="67" spans="2:15" x14ac:dyDescent="0.25">
      <c r="B67">
        <v>13244</v>
      </c>
      <c r="C67">
        <v>9449</v>
      </c>
      <c r="D67">
        <v>10016</v>
      </c>
      <c r="E67">
        <v>8315</v>
      </c>
      <c r="F67">
        <v>6833</v>
      </c>
      <c r="G67">
        <v>6942</v>
      </c>
      <c r="H67">
        <v>3643</v>
      </c>
      <c r="I67">
        <v>846</v>
      </c>
      <c r="J67">
        <v>374</v>
      </c>
    </row>
    <row r="68" spans="2:15" x14ac:dyDescent="0.25">
      <c r="B68">
        <v>13535</v>
      </c>
      <c r="C68">
        <v>9476</v>
      </c>
      <c r="D68">
        <v>10203</v>
      </c>
      <c r="E68">
        <v>8174</v>
      </c>
      <c r="F68">
        <v>6739</v>
      </c>
      <c r="G68">
        <v>6770</v>
      </c>
      <c r="H68">
        <v>3503</v>
      </c>
      <c r="I68">
        <v>829</v>
      </c>
      <c r="J68">
        <v>343</v>
      </c>
    </row>
    <row r="69" spans="2:15" x14ac:dyDescent="0.25">
      <c r="B69">
        <v>12699</v>
      </c>
      <c r="C69">
        <v>9523</v>
      </c>
      <c r="D69">
        <v>10280</v>
      </c>
      <c r="E69">
        <v>8564</v>
      </c>
      <c r="F69">
        <v>7067</v>
      </c>
      <c r="G69">
        <v>6910</v>
      </c>
      <c r="H69">
        <v>3533</v>
      </c>
      <c r="I69">
        <v>834</v>
      </c>
      <c r="J69">
        <v>343</v>
      </c>
    </row>
    <row r="70" spans="2:15" x14ac:dyDescent="0.25">
      <c r="B70">
        <v>12991</v>
      </c>
      <c r="C70">
        <v>9385</v>
      </c>
      <c r="D70">
        <v>9961</v>
      </c>
      <c r="E70">
        <v>8018</v>
      </c>
      <c r="F70">
        <v>6817</v>
      </c>
      <c r="G70">
        <v>7082</v>
      </c>
      <c r="H70">
        <v>3455</v>
      </c>
      <c r="I70">
        <v>838</v>
      </c>
      <c r="J70">
        <v>374</v>
      </c>
    </row>
    <row r="71" spans="2:15" x14ac:dyDescent="0.25">
      <c r="B71">
        <v>12852</v>
      </c>
      <c r="C71">
        <v>9429</v>
      </c>
      <c r="D71">
        <v>10161</v>
      </c>
      <c r="E71">
        <v>8268</v>
      </c>
      <c r="F71">
        <v>7207</v>
      </c>
      <c r="G71">
        <v>6770</v>
      </c>
      <c r="H71">
        <v>3496</v>
      </c>
      <c r="I71">
        <v>848</v>
      </c>
      <c r="J71">
        <v>375</v>
      </c>
    </row>
    <row r="72" spans="2:15" x14ac:dyDescent="0.25">
      <c r="B72">
        <v>12907</v>
      </c>
      <c r="C72">
        <v>9504</v>
      </c>
      <c r="D72">
        <v>10301</v>
      </c>
      <c r="E72">
        <v>8236</v>
      </c>
      <c r="F72">
        <v>6879</v>
      </c>
      <c r="G72">
        <v>6973</v>
      </c>
      <c r="H72">
        <v>3547</v>
      </c>
      <c r="I72">
        <v>828</v>
      </c>
      <c r="J72">
        <v>359</v>
      </c>
    </row>
    <row r="73" spans="2:15" x14ac:dyDescent="0.25">
      <c r="B73">
        <v>14888</v>
      </c>
      <c r="C73">
        <v>9579</v>
      </c>
      <c r="D73">
        <v>10296</v>
      </c>
      <c r="E73">
        <v>8362</v>
      </c>
      <c r="F73">
        <v>6942</v>
      </c>
      <c r="G73">
        <v>7005</v>
      </c>
      <c r="H73">
        <v>3701</v>
      </c>
      <c r="I73">
        <v>840</v>
      </c>
      <c r="J73">
        <v>359</v>
      </c>
    </row>
    <row r="74" spans="2:15" x14ac:dyDescent="0.25">
      <c r="B74">
        <v>13208</v>
      </c>
      <c r="C74">
        <v>9449</v>
      </c>
      <c r="D74">
        <v>10267</v>
      </c>
      <c r="E74">
        <v>8190</v>
      </c>
      <c r="F74">
        <v>6864</v>
      </c>
      <c r="G74">
        <v>6755</v>
      </c>
      <c r="H74">
        <v>3516</v>
      </c>
      <c r="I74">
        <v>807</v>
      </c>
      <c r="J74">
        <v>358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69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AVERAGE(Table63[Newtonsoft (duration)])</f>
      </c>
      <c r="D38" s="2" t="e">
        <f>AVERAGE(Table63[.NET baked full (duration)])</f>
      </c>
      <c r="E38" s="2" t="e">
        <f>AVERAGE(Table63[.NET baked minimal (duration)])</f>
      </c>
      <c r="F38" s="2" t="e">
        <f>AVERAGE(Table63[Jackson (duration)])</f>
      </c>
      <c r="G38" s="2" t="e">
        <f>AVERAGE(Table63[JVM baked full (duration)])</f>
      </c>
      <c r="H38" s="2" t="e">
        <f>AVERAGE(Table63[JVM baked minimal (duration)])</f>
      </c>
      <c r="I38" s="2" t="e">
        <f>AVERAGE(Table63[Protobuf.NET (duration)])</f>
      </c>
      <c r="J38" s="2" t="e">
        <f>AVERAGE(Table64[.NET (instance only)])</f>
      </c>
      <c r="K38" s="2" t="e">
        <f>AVERAGE(Table64[JVM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AVERAGE(Table64[Newtonsoft (duration)])</f>
      </c>
      <c r="D40" s="2" t="e">
        <f>AVERAGE(Table64[.NET baked full (duration)])</f>
      </c>
      <c r="E40" s="2" t="e">
        <f>AVERAGE(Table64[.NET baked minimal (duration)])</f>
      </c>
      <c r="F40" s="2" t="e">
        <f>AVERAGE(Table64[Jackson (duration)])</f>
      </c>
      <c r="G40" s="2" t="e">
        <f>AVERAGE(Table64[JVM baked full (duration)])</f>
      </c>
      <c r="H40" s="2" t="e">
        <f>AVERAGE(Table64[JVM baked minimal (duration)])</f>
      </c>
      <c r="I40" s="2" t="e">
        <f>AVERAGE(Table64[Protobuf.NET (duration)])</f>
      </c>
      <c r="J40" s="2"/>
      <c r="K40" s="2"/>
    </row>
    <row r="41" spans="2:11" x14ac:dyDescent="0.25">
      <c r="B41" t="s">
        <v>8</v>
      </c>
      <c r="C41" s="3" t="e">
        <f>AVERAGE(Table63[Newtonsoft (size)])</f>
      </c>
      <c r="D41" s="3" t="e">
        <f>AVERAGE(Table63[.NET baked full (size)])</f>
      </c>
      <c r="E41" s="3" t="e">
        <f>AVERAGE(Table63[.NET baked minimal (size)])</f>
      </c>
      <c r="F41" s="3" t="e">
        <f>AVERAGE(Table63[Jackson (size)])</f>
      </c>
      <c r="G41" s="3" t="e">
        <f>AVERAGE(Table63[JVM baked full (size)])</f>
      </c>
      <c r="H41" s="3" t="e">
        <f>AVERAGE(Table63[JVM baked minimal (size)])</f>
      </c>
      <c r="I41" s="3" t="e">
        <f>AVERAGE(Table63[Protobuf.NET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DEVSQ(Table63[Newtonsoft (duration)])</f>
      </c>
      <c r="D46" s="2" t="e">
        <f>DEVSQ(Table63[.NET baked full (duration)])</f>
      </c>
      <c r="E46" s="2" t="e">
        <f>DEVSQ(Table63[.NET baked minimal (duration)])</f>
      </c>
      <c r="F46" s="2" t="e">
        <f>DEVSQ(Table63[Jackson (duration)])</f>
      </c>
      <c r="G46" s="2" t="e">
        <f>DEVSQ(Table63[JVM baked full (duration)])</f>
      </c>
      <c r="H46" s="2" t="e">
        <f>DEVSQ(Table63[JVM baked minimal (duration)])</f>
      </c>
      <c r="I46" s="2" t="e">
        <f>DEVSQ(Table63[Protobuf.NET (duration)])</f>
      </c>
    </row>
    <row r="47" spans="2:11" x14ac:dyDescent="0.25">
      <c r="B47" t="s">
        <v>1</v>
      </c>
      <c r="C47" s="2" t="e">
        <f>DEVSQ(Table64[Newtonsoft (duration)])</f>
      </c>
      <c r="D47" s="2" t="e">
        <f>DEVSQ(Table64[.NET baked full (duration)])</f>
      </c>
      <c r="E47" s="2" t="e">
        <f>DEVSQ(Table64[.NET baked minimal (duration)])</f>
      </c>
      <c r="F47" s="2" t="e">
        <f>DEVSQ(Table64[Jackson (duration)])</f>
      </c>
      <c r="G47" s="2" t="e">
        <f>DEVSQ(Table64[JVM baked full (duration)])</f>
      </c>
      <c r="H47" s="2" t="e">
        <f>DEVSQ(Table64[JVM baked minimal (duration)])</f>
      </c>
      <c r="I47" s="2" t="e">
        <f>DEVSQ(Table64[Protobuf.NET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4366</v>
      </c>
      <c r="C52">
        <v>114462697</v>
      </c>
      <c r="D52">
        <v>4182</v>
      </c>
      <c r="E52">
        <v>124685790</v>
      </c>
      <c r="F52">
        <v>4167</v>
      </c>
      <c r="G52">
        <v>117042070</v>
      </c>
      <c r="H52">
        <v>1966</v>
      </c>
      <c r="I52">
        <v>100876831</v>
      </c>
      <c r="J52">
        <v>1887</v>
      </c>
      <c r="K52">
        <v>111048176</v>
      </c>
      <c r="L52">
        <v>1887</v>
      </c>
      <c r="M52">
        <v>86071675</v>
      </c>
      <c r="N52">
        <v>1287</v>
      </c>
      <c r="O52">
        <v>51690142</v>
      </c>
    </row>
    <row r="53" spans="2:15" x14ac:dyDescent="0.25">
      <c r="B53">
        <v>4674</v>
      </c>
      <c r="C53">
        <v>114454265</v>
      </c>
      <c r="D53">
        <v>4244</v>
      </c>
      <c r="E53">
        <v>124680262</v>
      </c>
      <c r="F53">
        <v>4167</v>
      </c>
      <c r="G53">
        <v>117044965</v>
      </c>
      <c r="H53">
        <v>2012</v>
      </c>
      <c r="I53">
        <v>100876829</v>
      </c>
      <c r="J53">
        <v>1918</v>
      </c>
      <c r="K53">
        <v>111048178</v>
      </c>
      <c r="L53">
        <v>1794</v>
      </c>
      <c r="M53">
        <v>86071670</v>
      </c>
      <c r="N53">
        <v>1294</v>
      </c>
      <c r="O53">
        <v>51690142</v>
      </c>
    </row>
    <row r="54" spans="2:15" x14ac:dyDescent="0.25">
      <c r="B54">
        <v>4595</v>
      </c>
      <c r="C54">
        <v>114440414</v>
      </c>
      <c r="D54">
        <v>4204</v>
      </c>
      <c r="E54">
        <v>124676295</v>
      </c>
      <c r="F54">
        <v>4249</v>
      </c>
      <c r="G54">
        <v>117028038</v>
      </c>
      <c r="H54">
        <v>1997</v>
      </c>
      <c r="I54">
        <v>100876828</v>
      </c>
      <c r="J54">
        <v>1872</v>
      </c>
      <c r="K54">
        <v>111048176</v>
      </c>
      <c r="L54">
        <v>1872</v>
      </c>
      <c r="M54">
        <v>86071674</v>
      </c>
      <c r="N54">
        <v>1282</v>
      </c>
      <c r="O54">
        <v>51690142</v>
      </c>
    </row>
    <row r="55" spans="2:15" x14ac:dyDescent="0.25">
      <c r="B55">
        <v>4613</v>
      </c>
      <c r="C55">
        <v>114463598</v>
      </c>
      <c r="D55">
        <v>4235</v>
      </c>
      <c r="E55">
        <v>124676438</v>
      </c>
      <c r="F55">
        <v>4184</v>
      </c>
      <c r="G55">
        <v>117041263</v>
      </c>
      <c r="H55">
        <v>1981</v>
      </c>
      <c r="I55">
        <v>100876831</v>
      </c>
      <c r="J55">
        <v>1888</v>
      </c>
      <c r="K55">
        <v>111048174</v>
      </c>
      <c r="L55">
        <v>1841</v>
      </c>
      <c r="M55">
        <v>86071674</v>
      </c>
      <c r="N55">
        <v>1295</v>
      </c>
      <c r="O55">
        <v>51690142</v>
      </c>
    </row>
    <row r="56" spans="2:15" x14ac:dyDescent="0.25">
      <c r="B56">
        <v>4309</v>
      </c>
      <c r="C56">
        <v>114460518</v>
      </c>
      <c r="D56">
        <v>4221</v>
      </c>
      <c r="E56">
        <v>124676139</v>
      </c>
      <c r="F56">
        <v>4224</v>
      </c>
      <c r="G56">
        <v>117036213</v>
      </c>
      <c r="H56">
        <v>1982</v>
      </c>
      <c r="I56">
        <v>100876835</v>
      </c>
      <c r="J56">
        <v>1934</v>
      </c>
      <c r="K56">
        <v>111048178</v>
      </c>
      <c r="L56">
        <v>1809</v>
      </c>
      <c r="M56">
        <v>86071672</v>
      </c>
      <c r="N56">
        <v>1292</v>
      </c>
      <c r="O56">
        <v>51690142</v>
      </c>
    </row>
    <row r="57" spans="2:15" x14ac:dyDescent="0.25">
      <c r="B57">
        <v>4399</v>
      </c>
      <c r="C57">
        <v>114461230</v>
      </c>
      <c r="D57">
        <v>4250</v>
      </c>
      <c r="E57">
        <v>124669424</v>
      </c>
      <c r="F57">
        <v>4211</v>
      </c>
      <c r="G57">
        <v>117028274</v>
      </c>
      <c r="H57">
        <v>2091</v>
      </c>
      <c r="I57">
        <v>100876829</v>
      </c>
      <c r="J57">
        <v>1903</v>
      </c>
      <c r="K57">
        <v>111048174</v>
      </c>
      <c r="L57">
        <v>1872</v>
      </c>
      <c r="M57">
        <v>86071671</v>
      </c>
      <c r="N57">
        <v>1275</v>
      </c>
      <c r="O57">
        <v>51690142</v>
      </c>
    </row>
    <row r="58" spans="2:15" x14ac:dyDescent="0.25">
      <c r="B58">
        <v>4596</v>
      </c>
      <c r="C58">
        <v>114202978</v>
      </c>
      <c r="D58">
        <v>4263</v>
      </c>
      <c r="E58">
        <v>124686968</v>
      </c>
      <c r="F58">
        <v>4220</v>
      </c>
      <c r="G58">
        <v>117037585</v>
      </c>
      <c r="H58">
        <v>1903</v>
      </c>
      <c r="I58">
        <v>100876830</v>
      </c>
      <c r="J58">
        <v>1903</v>
      </c>
      <c r="K58">
        <v>111048178</v>
      </c>
      <c r="L58">
        <v>1857</v>
      </c>
      <c r="M58">
        <v>86071674</v>
      </c>
      <c r="N58">
        <v>1285</v>
      </c>
      <c r="O58">
        <v>51690142</v>
      </c>
    </row>
    <row r="59" spans="2:15" x14ac:dyDescent="0.25">
      <c r="B59">
        <v>4372</v>
      </c>
      <c r="C59">
        <v>114461208</v>
      </c>
      <c r="D59">
        <v>4227</v>
      </c>
      <c r="E59">
        <v>124689084</v>
      </c>
      <c r="F59">
        <v>4160</v>
      </c>
      <c r="G59">
        <v>117043340</v>
      </c>
      <c r="H59">
        <v>1981</v>
      </c>
      <c r="I59">
        <v>100876827</v>
      </c>
      <c r="J59">
        <v>1934</v>
      </c>
      <c r="K59">
        <v>111048175</v>
      </c>
      <c r="L59">
        <v>1825</v>
      </c>
      <c r="M59">
        <v>86071674</v>
      </c>
      <c r="N59">
        <v>1277</v>
      </c>
      <c r="O59">
        <v>51690142</v>
      </c>
    </row>
    <row r="60" spans="2:15" x14ac:dyDescent="0.25">
      <c r="B60">
        <v>4352</v>
      </c>
      <c r="C60">
        <v>114451347</v>
      </c>
      <c r="D60">
        <v>4226</v>
      </c>
      <c r="E60">
        <v>124667790</v>
      </c>
      <c r="F60">
        <v>4204</v>
      </c>
      <c r="G60">
        <v>117032908</v>
      </c>
      <c r="H60">
        <v>1919</v>
      </c>
      <c r="I60">
        <v>100876830</v>
      </c>
      <c r="J60">
        <v>1935</v>
      </c>
      <c r="K60">
        <v>111048176</v>
      </c>
      <c r="L60">
        <v>1825</v>
      </c>
      <c r="M60">
        <v>86071672</v>
      </c>
      <c r="N60">
        <v>1301</v>
      </c>
      <c r="O60">
        <v>51690142</v>
      </c>
    </row>
    <row r="61" spans="2:15" x14ac:dyDescent="0.25">
      <c r="B61">
        <v>4506</v>
      </c>
      <c r="C61">
        <v>114465202</v>
      </c>
      <c r="D61">
        <v>4209</v>
      </c>
      <c r="E61">
        <v>124676161</v>
      </c>
      <c r="F61">
        <v>4202</v>
      </c>
      <c r="G61">
        <v>117040343</v>
      </c>
      <c r="H61">
        <v>2028</v>
      </c>
      <c r="I61">
        <v>100876829</v>
      </c>
      <c r="J61">
        <v>1966</v>
      </c>
      <c r="K61">
        <v>111048178</v>
      </c>
      <c r="L61">
        <v>1794</v>
      </c>
      <c r="M61">
        <v>86071674</v>
      </c>
      <c r="N61">
        <v>1275</v>
      </c>
      <c r="O61">
        <v>51690142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10631</v>
      </c>
      <c r="C65">
        <v>7098</v>
      </c>
      <c r="D65">
        <v>6996</v>
      </c>
      <c r="E65">
        <v>5133</v>
      </c>
      <c r="F65">
        <v>4789</v>
      </c>
      <c r="G65">
        <v>4493</v>
      </c>
      <c r="H65">
        <v>2600</v>
      </c>
      <c r="I65">
        <v>815</v>
      </c>
      <c r="J65">
        <v>375</v>
      </c>
    </row>
    <row r="66" spans="2:15" x14ac:dyDescent="0.25">
      <c r="B66">
        <v>10688</v>
      </c>
      <c r="C66">
        <v>7131</v>
      </c>
      <c r="D66">
        <v>7030</v>
      </c>
      <c r="E66">
        <v>5086</v>
      </c>
      <c r="F66">
        <v>4711</v>
      </c>
      <c r="G66">
        <v>4462</v>
      </c>
      <c r="H66">
        <v>2606</v>
      </c>
      <c r="I66">
        <v>813</v>
      </c>
      <c r="J66">
        <v>344</v>
      </c>
    </row>
    <row r="67" spans="2:15" x14ac:dyDescent="0.25">
      <c r="B67">
        <v>11601</v>
      </c>
      <c r="C67">
        <v>7095</v>
      </c>
      <c r="D67">
        <v>6879</v>
      </c>
      <c r="E67">
        <v>5179</v>
      </c>
      <c r="F67">
        <v>4711</v>
      </c>
      <c r="G67">
        <v>4430</v>
      </c>
      <c r="H67">
        <v>2605</v>
      </c>
      <c r="I67">
        <v>804</v>
      </c>
      <c r="J67">
        <v>375</v>
      </c>
    </row>
    <row r="68" spans="2:15" x14ac:dyDescent="0.25">
      <c r="B68">
        <v>11046</v>
      </c>
      <c r="C68">
        <v>7102</v>
      </c>
      <c r="D68">
        <v>6990</v>
      </c>
      <c r="E68">
        <v>4992</v>
      </c>
      <c r="F68">
        <v>4555</v>
      </c>
      <c r="G68">
        <v>4555</v>
      </c>
      <c r="H68">
        <v>2584</v>
      </c>
      <c r="I68">
        <v>809</v>
      </c>
      <c r="J68">
        <v>359</v>
      </c>
    </row>
    <row r="69" spans="2:15" x14ac:dyDescent="0.25">
      <c r="B69">
        <v>10486</v>
      </c>
      <c r="C69">
        <v>7094</v>
      </c>
      <c r="D69">
        <v>7260</v>
      </c>
      <c r="E69">
        <v>5195</v>
      </c>
      <c r="F69">
        <v>4727</v>
      </c>
      <c r="G69">
        <v>4539</v>
      </c>
      <c r="H69">
        <v>2594</v>
      </c>
      <c r="I69">
        <v>811</v>
      </c>
      <c r="J69">
        <v>358</v>
      </c>
    </row>
    <row r="70" spans="2:15" x14ac:dyDescent="0.25">
      <c r="B70">
        <v>10767</v>
      </c>
      <c r="C70">
        <v>7095</v>
      </c>
      <c r="D70">
        <v>7160</v>
      </c>
      <c r="E70">
        <v>5148</v>
      </c>
      <c r="F70">
        <v>4602</v>
      </c>
      <c r="G70">
        <v>4524</v>
      </c>
      <c r="H70">
        <v>2602</v>
      </c>
      <c r="I70">
        <v>814</v>
      </c>
      <c r="J70">
        <v>374</v>
      </c>
    </row>
    <row r="71" spans="2:15" x14ac:dyDescent="0.25">
      <c r="B71">
        <v>10830</v>
      </c>
      <c r="C71">
        <v>7074</v>
      </c>
      <c r="D71">
        <v>6976</v>
      </c>
      <c r="E71">
        <v>5195</v>
      </c>
      <c r="F71">
        <v>4820</v>
      </c>
      <c r="G71">
        <v>4336</v>
      </c>
      <c r="H71">
        <v>2581</v>
      </c>
      <c r="I71">
        <v>795</v>
      </c>
      <c r="J71">
        <v>359</v>
      </c>
    </row>
    <row r="72" spans="2:15" x14ac:dyDescent="0.25">
      <c r="B72">
        <v>10638</v>
      </c>
      <c r="C72">
        <v>7268</v>
      </c>
      <c r="D72">
        <v>6881</v>
      </c>
      <c r="E72">
        <v>5163</v>
      </c>
      <c r="F72">
        <v>4680</v>
      </c>
      <c r="G72">
        <v>4524</v>
      </c>
      <c r="H72">
        <v>2633</v>
      </c>
      <c r="I72">
        <v>805</v>
      </c>
      <c r="J72">
        <v>374</v>
      </c>
    </row>
    <row r="73" spans="2:15" x14ac:dyDescent="0.25">
      <c r="B73">
        <v>10665</v>
      </c>
      <c r="C73">
        <v>7125</v>
      </c>
      <c r="D73">
        <v>7009</v>
      </c>
      <c r="E73">
        <v>5164</v>
      </c>
      <c r="F73">
        <v>4633</v>
      </c>
      <c r="G73">
        <v>4446</v>
      </c>
      <c r="H73">
        <v>2538</v>
      </c>
      <c r="I73">
        <v>769</v>
      </c>
      <c r="J73">
        <v>374</v>
      </c>
    </row>
    <row r="74" spans="2:15" x14ac:dyDescent="0.25">
      <c r="B74">
        <v>11536</v>
      </c>
      <c r="C74">
        <v>7038</v>
      </c>
      <c r="D74">
        <v>6959</v>
      </c>
      <c r="E74">
        <v>5241</v>
      </c>
      <c r="F74">
        <v>4680</v>
      </c>
      <c r="G74">
        <v>4446</v>
      </c>
      <c r="H74">
        <v>2592</v>
      </c>
      <c r="I74">
        <v>784</v>
      </c>
      <c r="J74">
        <v>359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70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AVERAGE(Table67[Newtonsoft (duration)])</f>
      </c>
      <c r="D38" s="2" t="e">
        <f>AVERAGE(Table67[.NET baked full (duration)])</f>
      </c>
      <c r="E38" s="2" t="e">
        <f>AVERAGE(Table67[.NET baked minimal (duration)])</f>
      </c>
      <c r="F38" s="2" t="e">
        <f>AVERAGE(Table67[Jackson (duration)])</f>
      </c>
      <c r="G38" s="2" t="e">
        <f>AVERAGE(Table67[JVM baked full (duration)])</f>
      </c>
      <c r="H38" s="2" t="e">
        <f>AVERAGE(Table67[JVM baked minimal (duration)])</f>
      </c>
      <c r="I38" s="2" t="e">
        <f>AVERAGE(Table67[Protobuf.NET (duration)])</f>
      </c>
      <c r="J38" s="2" t="e">
        <f>AVERAGE(Table68[.NET (instance only)])</f>
      </c>
      <c r="K38" s="2" t="e">
        <f>AVERAGE(Table68[JVM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AVERAGE(Table68[Newtonsoft (duration)])</f>
      </c>
      <c r="D40" s="2" t="e">
        <f>AVERAGE(Table68[.NET baked full (duration)])</f>
      </c>
      <c r="E40" s="2" t="e">
        <f>AVERAGE(Table68[.NET baked minimal (duration)])</f>
      </c>
      <c r="F40" s="2" t="e">
        <f>AVERAGE(Table68[Jackson (duration)])</f>
      </c>
      <c r="G40" s="2" t="e">
        <f>AVERAGE(Table68[JVM baked full (duration)])</f>
      </c>
      <c r="H40" s="2" t="e">
        <f>AVERAGE(Table68[JVM baked minimal (duration)])</f>
      </c>
      <c r="I40" s="2" t="e">
        <f>AVERAGE(Table68[Protobuf.NET (duration)])</f>
      </c>
      <c r="J40" s="2"/>
      <c r="K40" s="2"/>
    </row>
    <row r="41" spans="2:11" x14ac:dyDescent="0.25">
      <c r="B41" t="s">
        <v>8</v>
      </c>
      <c r="C41" s="3" t="e">
        <f>AVERAGE(Table67[Newtonsoft (size)])</f>
      </c>
      <c r="D41" s="3" t="e">
        <f>AVERAGE(Table67[.NET baked full (size)])</f>
      </c>
      <c r="E41" s="3" t="e">
        <f>AVERAGE(Table67[.NET baked minimal (size)])</f>
      </c>
      <c r="F41" s="3" t="e">
        <f>AVERAGE(Table67[Jackson (size)])</f>
      </c>
      <c r="G41" s="3" t="e">
        <f>AVERAGE(Table67[JVM baked full (size)])</f>
      </c>
      <c r="H41" s="3" t="e">
        <f>AVERAGE(Table67[JVM baked minimal (size)])</f>
      </c>
      <c r="I41" s="3" t="e">
        <f>AVERAGE(Table67[Protobuf.NET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DEVSQ(Table67[Newtonsoft (duration)])</f>
      </c>
      <c r="D46" s="2" t="e">
        <f>DEVSQ(Table67[.NET baked full (duration)])</f>
      </c>
      <c r="E46" s="2" t="e">
        <f>DEVSQ(Table67[.NET baked minimal (duration)])</f>
      </c>
      <c r="F46" s="2" t="e">
        <f>DEVSQ(Table67[Jackson (duration)])</f>
      </c>
      <c r="G46" s="2" t="e">
        <f>DEVSQ(Table67[JVM baked full (duration)])</f>
      </c>
      <c r="H46" s="2" t="e">
        <f>DEVSQ(Table67[JVM baked minimal (duration)])</f>
      </c>
      <c r="I46" s="2" t="e">
        <f>DEVSQ(Table67[Protobuf.NET (duration)])</f>
      </c>
    </row>
    <row r="47" spans="2:11" x14ac:dyDescent="0.25">
      <c r="B47" t="s">
        <v>1</v>
      </c>
      <c r="C47" s="2" t="e">
        <f>DEVSQ(Table68[Newtonsoft (duration)])</f>
      </c>
      <c r="D47" s="2" t="e">
        <f>DEVSQ(Table68[.NET baked full (duration)])</f>
      </c>
      <c r="E47" s="2" t="e">
        <f>DEVSQ(Table68[.NET baked minimal (duration)])</f>
      </c>
      <c r="F47" s="2" t="e">
        <f>DEVSQ(Table68[Jackson (duration)])</f>
      </c>
      <c r="G47" s="2" t="e">
        <f>DEVSQ(Table68[JVM baked full (duration)])</f>
      </c>
      <c r="H47" s="2" t="e">
        <f>DEVSQ(Table68[JVM baked minimal (duration)])</f>
      </c>
      <c r="I47" s="2" t="e">
        <f>DEVSQ(Table68[Protobuf.NET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42859</v>
      </c>
      <c r="C52">
        <v>1159894796</v>
      </c>
      <c r="D52">
        <v>41554</v>
      </c>
      <c r="E52">
        <v>1262139049</v>
      </c>
      <c r="F52">
        <v>41376</v>
      </c>
      <c r="G52">
        <v>1185730714</v>
      </c>
      <c r="H52">
        <v>12636</v>
      </c>
      <c r="I52">
        <v>1014114554</v>
      </c>
      <c r="J52">
        <v>16614</v>
      </c>
      <c r="K52">
        <v>1115828521</v>
      </c>
      <c r="L52">
        <v>15803</v>
      </c>
      <c r="M52">
        <v>866064134</v>
      </c>
      <c r="N52">
        <v>12432</v>
      </c>
      <c r="O52">
        <v>527116660</v>
      </c>
    </row>
    <row r="53" spans="2:15" x14ac:dyDescent="0.25">
      <c r="B53">
        <v>45079</v>
      </c>
      <c r="C53">
        <v>1159877189</v>
      </c>
      <c r="D53">
        <v>41650</v>
      </c>
      <c r="E53">
        <v>1262143462</v>
      </c>
      <c r="F53">
        <v>41211</v>
      </c>
      <c r="G53">
        <v>1185705957</v>
      </c>
      <c r="H53">
        <v>12589</v>
      </c>
      <c r="I53">
        <v>1014114569</v>
      </c>
      <c r="J53">
        <v>16692</v>
      </c>
      <c r="K53">
        <v>1115828519</v>
      </c>
      <c r="L53">
        <v>15631</v>
      </c>
      <c r="M53">
        <v>866064120</v>
      </c>
      <c r="N53">
        <v>12325</v>
      </c>
      <c r="O53">
        <v>527116660</v>
      </c>
    </row>
    <row r="54" spans="2:15" x14ac:dyDescent="0.25">
      <c r="B54">
        <v>42491</v>
      </c>
      <c r="C54">
        <v>1159902994</v>
      </c>
      <c r="D54">
        <v>41317</v>
      </c>
      <c r="E54">
        <v>1262111684</v>
      </c>
      <c r="F54">
        <v>41032</v>
      </c>
      <c r="G54">
        <v>1185758923</v>
      </c>
      <c r="H54">
        <v>12683</v>
      </c>
      <c r="I54">
        <v>1014114575</v>
      </c>
      <c r="J54">
        <v>16411</v>
      </c>
      <c r="K54">
        <v>1115828518</v>
      </c>
      <c r="L54">
        <v>15959</v>
      </c>
      <c r="M54">
        <v>866064139</v>
      </c>
      <c r="N54">
        <v>12380</v>
      </c>
      <c r="O54">
        <v>527116660</v>
      </c>
    </row>
    <row r="55" spans="2:15" x14ac:dyDescent="0.25">
      <c r="B55">
        <v>42574</v>
      </c>
      <c r="C55">
        <v>1159871046</v>
      </c>
      <c r="D55">
        <v>41249</v>
      </c>
      <c r="E55">
        <v>1259602080</v>
      </c>
      <c r="F55">
        <v>41104</v>
      </c>
      <c r="G55">
        <v>1185708592</v>
      </c>
      <c r="H55">
        <v>12964</v>
      </c>
      <c r="I55">
        <v>1014114578</v>
      </c>
      <c r="J55">
        <v>16536</v>
      </c>
      <c r="K55">
        <v>1115828542</v>
      </c>
      <c r="L55">
        <v>16349</v>
      </c>
      <c r="M55">
        <v>866064119</v>
      </c>
      <c r="N55">
        <v>12410</v>
      </c>
      <c r="O55">
        <v>527116660</v>
      </c>
    </row>
    <row r="56" spans="2:15" x14ac:dyDescent="0.25">
      <c r="B56">
        <v>44827</v>
      </c>
      <c r="C56">
        <v>1157370638</v>
      </c>
      <c r="D56">
        <v>41398</v>
      </c>
      <c r="E56">
        <v>1262124982</v>
      </c>
      <c r="F56">
        <v>41677</v>
      </c>
      <c r="G56">
        <v>1185730421</v>
      </c>
      <c r="H56">
        <v>12792</v>
      </c>
      <c r="I56">
        <v>1014114577</v>
      </c>
      <c r="J56">
        <v>16504</v>
      </c>
      <c r="K56">
        <v>1115828545</v>
      </c>
      <c r="L56">
        <v>15397</v>
      </c>
      <c r="M56">
        <v>866064127</v>
      </c>
      <c r="N56">
        <v>12401</v>
      </c>
      <c r="O56">
        <v>527116660</v>
      </c>
    </row>
    <row r="57" spans="2:15" x14ac:dyDescent="0.25">
      <c r="B57">
        <v>44821</v>
      </c>
      <c r="C57">
        <v>1159863976</v>
      </c>
      <c r="D57">
        <v>41556</v>
      </c>
      <c r="E57">
        <v>1259578645</v>
      </c>
      <c r="F57">
        <v>41435</v>
      </c>
      <c r="G57">
        <v>1185733418</v>
      </c>
      <c r="H57">
        <v>12542</v>
      </c>
      <c r="I57">
        <v>1014114568</v>
      </c>
      <c r="J57">
        <v>16832</v>
      </c>
      <c r="K57">
        <v>1115828532</v>
      </c>
      <c r="L57">
        <v>16068</v>
      </c>
      <c r="M57">
        <v>866064098</v>
      </c>
      <c r="N57">
        <v>12226</v>
      </c>
      <c r="O57">
        <v>527116660</v>
      </c>
    </row>
    <row r="58" spans="2:15" x14ac:dyDescent="0.25">
      <c r="B58">
        <v>43265</v>
      </c>
      <c r="C58">
        <v>1157336642</v>
      </c>
      <c r="D58">
        <v>41463</v>
      </c>
      <c r="E58">
        <v>1262143218</v>
      </c>
      <c r="F58">
        <v>41198</v>
      </c>
      <c r="G58">
        <v>1185726568</v>
      </c>
      <c r="H58">
        <v>12932</v>
      </c>
      <c r="I58">
        <v>1014114568</v>
      </c>
      <c r="J58">
        <v>16536</v>
      </c>
      <c r="K58">
        <v>1115828524</v>
      </c>
      <c r="L58">
        <v>15880</v>
      </c>
      <c r="M58">
        <v>866064129</v>
      </c>
      <c r="N58">
        <v>12418</v>
      </c>
      <c r="O58">
        <v>527116660</v>
      </c>
    </row>
    <row r="59" spans="2:15" x14ac:dyDescent="0.25">
      <c r="B59">
        <v>44203</v>
      </c>
      <c r="C59">
        <v>1157348456</v>
      </c>
      <c r="D59">
        <v>41396</v>
      </c>
      <c r="E59">
        <v>1262126460</v>
      </c>
      <c r="F59">
        <v>40988</v>
      </c>
      <c r="G59">
        <v>1185732711</v>
      </c>
      <c r="H59">
        <v>12745</v>
      </c>
      <c r="I59">
        <v>1014114585</v>
      </c>
      <c r="J59">
        <v>16427</v>
      </c>
      <c r="K59">
        <v>1115828519</v>
      </c>
      <c r="L59">
        <v>15834</v>
      </c>
      <c r="M59">
        <v>866064116</v>
      </c>
      <c r="N59">
        <v>12295</v>
      </c>
      <c r="O59">
        <v>527116660</v>
      </c>
    </row>
    <row r="60" spans="2:15" x14ac:dyDescent="0.25">
      <c r="B60">
        <v>43086</v>
      </c>
      <c r="C60">
        <v>1159870634</v>
      </c>
      <c r="D60">
        <v>41403</v>
      </c>
      <c r="E60">
        <v>1262148724</v>
      </c>
      <c r="F60">
        <v>41092</v>
      </c>
      <c r="G60">
        <v>1185715401</v>
      </c>
      <c r="H60">
        <v>12652</v>
      </c>
      <c r="I60">
        <v>1014114565</v>
      </c>
      <c r="J60">
        <v>17035</v>
      </c>
      <c r="K60">
        <v>1115828535</v>
      </c>
      <c r="L60">
        <v>15740</v>
      </c>
      <c r="M60">
        <v>866064128</v>
      </c>
      <c r="N60">
        <v>12386</v>
      </c>
      <c r="O60">
        <v>527116660</v>
      </c>
    </row>
    <row r="61" spans="2:15" x14ac:dyDescent="0.25">
      <c r="B61">
        <v>42612</v>
      </c>
      <c r="C61">
        <v>1159915003</v>
      </c>
      <c r="D61">
        <v>41248</v>
      </c>
      <c r="E61">
        <v>1262112236</v>
      </c>
      <c r="F61">
        <v>41016</v>
      </c>
      <c r="G61">
        <v>1185760788</v>
      </c>
      <c r="H61">
        <v>12574</v>
      </c>
      <c r="I61">
        <v>1014114570</v>
      </c>
      <c r="J61">
        <v>16536</v>
      </c>
      <c r="K61">
        <v>1115828528</v>
      </c>
      <c r="L61">
        <v>15413</v>
      </c>
      <c r="M61">
        <v>866064122</v>
      </c>
      <c r="N61">
        <v>12310</v>
      </c>
      <c r="O61">
        <v>527116660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103847</v>
      </c>
      <c r="C65">
        <v>69448</v>
      </c>
      <c r="D65">
        <v>68739</v>
      </c>
      <c r="E65">
        <v>41293</v>
      </c>
      <c r="F65">
        <v>41387</v>
      </c>
      <c r="G65">
        <v>39499</v>
      </c>
      <c r="H65">
        <v>25614</v>
      </c>
      <c r="I65">
        <v>7873</v>
      </c>
      <c r="J65">
        <v>1965</v>
      </c>
    </row>
    <row r="66" spans="2:15" x14ac:dyDescent="0.25">
      <c r="B66">
        <v>104245</v>
      </c>
      <c r="C66">
        <v>70021</v>
      </c>
      <c r="D66">
        <v>68638</v>
      </c>
      <c r="E66">
        <v>40529</v>
      </c>
      <c r="F66">
        <v>41090</v>
      </c>
      <c r="G66">
        <v>38610</v>
      </c>
      <c r="H66">
        <v>25084</v>
      </c>
      <c r="I66">
        <v>7925</v>
      </c>
      <c r="J66">
        <v>1950</v>
      </c>
    </row>
    <row r="67" spans="2:15" x14ac:dyDescent="0.25">
      <c r="B67">
        <v>107057</v>
      </c>
      <c r="C67">
        <v>69698</v>
      </c>
      <c r="D67">
        <v>68658</v>
      </c>
      <c r="E67">
        <v>40514</v>
      </c>
      <c r="F67">
        <v>41200</v>
      </c>
      <c r="G67">
        <v>38189</v>
      </c>
      <c r="H67">
        <v>25117</v>
      </c>
      <c r="I67">
        <v>7908</v>
      </c>
      <c r="J67">
        <v>1935</v>
      </c>
    </row>
    <row r="68" spans="2:15" x14ac:dyDescent="0.25">
      <c r="B68">
        <v>104119</v>
      </c>
      <c r="C68">
        <v>70023</v>
      </c>
      <c r="D68">
        <v>68918</v>
      </c>
      <c r="E68">
        <v>39484</v>
      </c>
      <c r="F68">
        <v>41465</v>
      </c>
      <c r="G68">
        <v>38922</v>
      </c>
      <c r="H68">
        <v>25484</v>
      </c>
      <c r="I68">
        <v>7983</v>
      </c>
      <c r="J68">
        <v>1950</v>
      </c>
    </row>
    <row r="69" spans="2:15" x14ac:dyDescent="0.25">
      <c r="B69">
        <v>105040</v>
      </c>
      <c r="C69">
        <v>69890</v>
      </c>
      <c r="D69">
        <v>70152</v>
      </c>
      <c r="E69">
        <v>40654</v>
      </c>
      <c r="F69">
        <v>43322</v>
      </c>
      <c r="G69">
        <v>39187</v>
      </c>
      <c r="H69">
        <v>25293</v>
      </c>
      <c r="I69">
        <v>7951</v>
      </c>
      <c r="J69">
        <v>1950</v>
      </c>
    </row>
    <row r="70" spans="2:15" x14ac:dyDescent="0.25">
      <c r="B70">
        <v>106938</v>
      </c>
      <c r="C70">
        <v>69841</v>
      </c>
      <c r="D70">
        <v>68812</v>
      </c>
      <c r="E70">
        <v>39874</v>
      </c>
      <c r="F70">
        <v>41933</v>
      </c>
      <c r="G70">
        <v>38766</v>
      </c>
      <c r="H70">
        <v>25453</v>
      </c>
      <c r="I70">
        <v>7970</v>
      </c>
      <c r="J70">
        <v>1981</v>
      </c>
    </row>
    <row r="71" spans="2:15" x14ac:dyDescent="0.25">
      <c r="B71">
        <v>108526</v>
      </c>
      <c r="C71">
        <v>70223</v>
      </c>
      <c r="D71">
        <v>69064</v>
      </c>
      <c r="E71">
        <v>40560</v>
      </c>
      <c r="F71">
        <v>41886</v>
      </c>
      <c r="G71">
        <v>40092</v>
      </c>
      <c r="H71">
        <v>25314</v>
      </c>
      <c r="I71">
        <v>8013</v>
      </c>
      <c r="J71">
        <v>1981</v>
      </c>
    </row>
    <row r="72" spans="2:15" x14ac:dyDescent="0.25">
      <c r="B72">
        <v>105668</v>
      </c>
      <c r="C72">
        <v>70106</v>
      </c>
      <c r="D72">
        <v>68992</v>
      </c>
      <c r="E72">
        <v>40060</v>
      </c>
      <c r="F72">
        <v>41091</v>
      </c>
      <c r="G72">
        <v>40311</v>
      </c>
      <c r="H72">
        <v>25626</v>
      </c>
      <c r="I72">
        <v>8071</v>
      </c>
      <c r="J72">
        <v>1966</v>
      </c>
    </row>
    <row r="73" spans="2:15" x14ac:dyDescent="0.25">
      <c r="B73">
        <v>108832</v>
      </c>
      <c r="C73">
        <v>70182</v>
      </c>
      <c r="D73">
        <v>68946</v>
      </c>
      <c r="E73">
        <v>40139</v>
      </c>
      <c r="F73">
        <v>40966</v>
      </c>
      <c r="G73">
        <v>39952</v>
      </c>
      <c r="H73">
        <v>25351</v>
      </c>
      <c r="I73">
        <v>8034</v>
      </c>
      <c r="J73">
        <v>1997</v>
      </c>
    </row>
    <row r="74" spans="2:15" x14ac:dyDescent="0.25">
      <c r="B74">
        <v>105395</v>
      </c>
      <c r="C74">
        <v>70599</v>
      </c>
      <c r="D74">
        <v>69130</v>
      </c>
      <c r="E74">
        <v>40670</v>
      </c>
      <c r="F74">
        <v>41980</v>
      </c>
      <c r="G74">
        <v>40482</v>
      </c>
      <c r="H74">
        <v>25464</v>
      </c>
      <c r="I74">
        <v>7944</v>
      </c>
      <c r="J74">
        <v>1981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71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AVERAGE(Table71[Newtonsoft (duration)])</f>
      </c>
      <c r="D38" s="2" t="e">
        <f>AVERAGE(Table71[.NET baked full (duration)])</f>
      </c>
      <c r="E38" s="2" t="e">
        <f>AVERAGE(Table71[.NET baked minimal (duration)])</f>
      </c>
      <c r="F38" s="2" t="e">
        <f>AVERAGE(Table71[Jackson (duration)])</f>
      </c>
      <c r="G38" s="2" t="e">
        <f>AVERAGE(Table71[JVM baked full (duration)])</f>
      </c>
      <c r="H38" s="2" t="e">
        <f>AVERAGE(Table71[JVM baked minimal (duration)])</f>
      </c>
      <c r="I38" s="2" t="e">
        <f>AVERAGE(Table71[Protobuf.NET (duration)])</f>
      </c>
      <c r="J38" s="2" t="e">
        <f>AVERAGE(Table72[.NET (instance only)])</f>
      </c>
      <c r="K38" s="2" t="e">
        <f>AVERAGE(Table72[JVM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AVERAGE(Table72[Newtonsoft (duration)])</f>
      </c>
      <c r="D40" s="2" t="e">
        <f>AVERAGE(Table72[.NET baked full (duration)])</f>
      </c>
      <c r="E40" s="2" t="e">
        <f>AVERAGE(Table72[.NET baked minimal (duration)])</f>
      </c>
      <c r="F40" s="2" t="e">
        <f>AVERAGE(Table72[Jackson (duration)])</f>
      </c>
      <c r="G40" s="2" t="e">
        <f>AVERAGE(Table72[JVM baked full (duration)])</f>
      </c>
      <c r="H40" s="2" t="e">
        <f>AVERAGE(Table72[JVM baked minimal (duration)])</f>
      </c>
      <c r="I40" s="2" t="e">
        <f>AVERAGE(Table72[Protobuf.NET (duration)])</f>
      </c>
      <c r="J40" s="2"/>
      <c r="K40" s="2"/>
    </row>
    <row r="41" spans="2:11" x14ac:dyDescent="0.25">
      <c r="B41" t="s">
        <v>8</v>
      </c>
      <c r="C41" s="3" t="e">
        <f>AVERAGE(Table71[Newtonsoft (size)])</f>
      </c>
      <c r="D41" s="3" t="e">
        <f>AVERAGE(Table71[.NET baked full (size)])</f>
      </c>
      <c r="E41" s="3" t="e">
        <f>AVERAGE(Table71[.NET baked minimal (size)])</f>
      </c>
      <c r="F41" s="3" t="e">
        <f>AVERAGE(Table71[Jackson (size)])</f>
      </c>
      <c r="G41" s="3" t="e">
        <f>AVERAGE(Table71[JVM baked full (size)])</f>
      </c>
      <c r="H41" s="3" t="e">
        <f>AVERAGE(Table71[JVM baked minimal (size)])</f>
      </c>
      <c r="I41" s="3" t="e">
        <f>AVERAGE(Table71[Protobuf.NET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DEVSQ(Table71[Newtonsoft (duration)])</f>
      </c>
      <c r="D46" s="2" t="e">
        <f>DEVSQ(Table71[.NET baked full (duration)])</f>
      </c>
      <c r="E46" s="2" t="e">
        <f>DEVSQ(Table71[.NET baked minimal (duration)])</f>
      </c>
      <c r="F46" s="2" t="e">
        <f>DEVSQ(Table71[Jackson (duration)])</f>
      </c>
      <c r="G46" s="2" t="e">
        <f>DEVSQ(Table71[JVM baked full (duration)])</f>
      </c>
      <c r="H46" s="2" t="e">
        <f>DEVSQ(Table71[JVM baked minimal (duration)])</f>
      </c>
      <c r="I46" s="2" t="e">
        <f>DEVSQ(Table71[Protobuf.NET (duration)])</f>
      </c>
    </row>
    <row r="47" spans="2:11" x14ac:dyDescent="0.25">
      <c r="B47" t="s">
        <v>1</v>
      </c>
      <c r="C47" s="2" t="e">
        <f>DEVSQ(Table72[Newtonsoft (duration)])</f>
      </c>
      <c r="D47" s="2" t="e">
        <f>DEVSQ(Table72[.NET baked full (duration)])</f>
      </c>
      <c r="E47" s="2" t="e">
        <f>DEVSQ(Table72[.NET baked minimal (duration)])</f>
      </c>
      <c r="F47" s="2" t="e">
        <f>DEVSQ(Table72[Jackson (duration)])</f>
      </c>
      <c r="G47" s="2" t="e">
        <f>DEVSQ(Table72[JVM baked full (duration)])</f>
      </c>
      <c r="H47" s="2" t="e">
        <f>DEVSQ(Table72[JVM baked minimal (duration)])</f>
      </c>
      <c r="I47" s="2" t="e">
        <f>DEVSQ(Table72[Protobuf.NET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425804</v>
      </c>
      <c r="C52">
        <v>11752383838</v>
      </c>
      <c r="D52">
        <v>414679</v>
      </c>
      <c r="E52">
        <v>12774881726</v>
      </c>
      <c r="F52">
        <v>411807</v>
      </c>
      <c r="G52">
        <v>12010732687</v>
      </c>
      <c r="H52">
        <v>123099</v>
      </c>
      <c r="I52">
        <v>10194680562</v>
      </c>
      <c r="J52">
        <v>174143</v>
      </c>
      <c r="K52">
        <v>11211820604</v>
      </c>
      <c r="L52">
        <v>159822</v>
      </c>
      <c r="M52">
        <v>8714177200</v>
      </c>
      <c r="N52">
        <v>123084</v>
      </c>
      <c r="O52">
        <v>5372917549</v>
      </c>
    </row>
    <row r="53" spans="2:15" x14ac:dyDescent="0.25">
      <c r="B53">
        <v>449447</v>
      </c>
      <c r="C53">
        <v>11752405218</v>
      </c>
      <c r="D53">
        <v>419431</v>
      </c>
      <c r="E53">
        <v>12774826204</v>
      </c>
      <c r="F53">
        <v>418794</v>
      </c>
      <c r="G53">
        <v>12010782175</v>
      </c>
      <c r="H53">
        <v>128170</v>
      </c>
      <c r="I53">
        <v>10194680630</v>
      </c>
      <c r="J53">
        <v>170852</v>
      </c>
      <c r="K53">
        <v>11211820583</v>
      </c>
      <c r="L53">
        <v>162708</v>
      </c>
      <c r="M53">
        <v>8714177152</v>
      </c>
      <c r="N53">
        <v>123266</v>
      </c>
      <c r="O53">
        <v>5372904525</v>
      </c>
    </row>
    <row r="54" spans="2:15" x14ac:dyDescent="0.25">
      <c r="B54">
        <v>441244</v>
      </c>
      <c r="C54">
        <v>11752380671</v>
      </c>
      <c r="D54">
        <v>410767</v>
      </c>
      <c r="E54">
        <v>12774868153</v>
      </c>
      <c r="F54">
        <v>410601</v>
      </c>
      <c r="G54">
        <v>12010765587</v>
      </c>
      <c r="H54">
        <v>123958</v>
      </c>
      <c r="I54">
        <v>10194680641</v>
      </c>
      <c r="J54">
        <v>166296</v>
      </c>
      <c r="K54">
        <v>11211820600</v>
      </c>
      <c r="L54">
        <v>160696</v>
      </c>
      <c r="M54">
        <v>8714177223</v>
      </c>
      <c r="N54">
        <v>122813</v>
      </c>
      <c r="O54">
        <v>5372904883</v>
      </c>
    </row>
    <row r="55" spans="2:15" x14ac:dyDescent="0.25">
      <c r="B55">
        <v>443682</v>
      </c>
      <c r="C55">
        <v>11752405154</v>
      </c>
      <c r="D55">
        <v>419536</v>
      </c>
      <c r="E55">
        <v>12774847783</v>
      </c>
      <c r="F55">
        <v>416621</v>
      </c>
      <c r="G55">
        <v>12010791185</v>
      </c>
      <c r="H55">
        <v>122804</v>
      </c>
      <c r="I55">
        <v>10194680646</v>
      </c>
      <c r="J55">
        <v>166359</v>
      </c>
      <c r="K55">
        <v>11211820629</v>
      </c>
      <c r="L55">
        <v>157997</v>
      </c>
      <c r="M55">
        <v>8714177128</v>
      </c>
      <c r="N55">
        <v>124328</v>
      </c>
      <c r="O55">
        <v>5372904141</v>
      </c>
    </row>
    <row r="56" spans="2:15" x14ac:dyDescent="0.25">
      <c r="B56">
        <v>446905</v>
      </c>
      <c r="C56">
        <v>11752414419</v>
      </c>
      <c r="D56">
        <v>407710</v>
      </c>
      <c r="E56">
        <v>12774840665</v>
      </c>
      <c r="F56">
        <v>403317</v>
      </c>
      <c r="G56">
        <v>12010789756</v>
      </c>
      <c r="H56">
        <v>116048</v>
      </c>
      <c r="I56">
        <v>10194680571</v>
      </c>
      <c r="J56">
        <v>169588</v>
      </c>
      <c r="K56">
        <v>11211816706</v>
      </c>
      <c r="L56">
        <v>158465</v>
      </c>
      <c r="M56">
        <v>8714173795</v>
      </c>
      <c r="N56">
        <v>119744</v>
      </c>
      <c r="O56">
        <v>5372904573</v>
      </c>
    </row>
    <row r="57" spans="2:15" x14ac:dyDescent="0.25">
      <c r="B57">
        <v>442926</v>
      </c>
      <c r="C57">
        <v>11752433201</v>
      </c>
      <c r="D57">
        <v>414912</v>
      </c>
      <c r="E57">
        <v>12774840386</v>
      </c>
      <c r="F57">
        <v>412822</v>
      </c>
      <c r="G57">
        <v>12010789547</v>
      </c>
      <c r="H57">
        <v>120791</v>
      </c>
      <c r="I57">
        <v>10194680582</v>
      </c>
      <c r="J57">
        <v>173394</v>
      </c>
      <c r="K57">
        <v>11211820670</v>
      </c>
      <c r="L57">
        <v>160134</v>
      </c>
      <c r="M57">
        <v>8714177254</v>
      </c>
      <c r="N57">
        <v>123539</v>
      </c>
      <c r="O57">
        <v>5372917549</v>
      </c>
    </row>
    <row r="58" spans="2:15" x14ac:dyDescent="0.25">
      <c r="B58">
        <v>430370</v>
      </c>
      <c r="C58">
        <v>11752415462</v>
      </c>
      <c r="D58">
        <v>420412</v>
      </c>
      <c r="E58">
        <v>12774873937</v>
      </c>
      <c r="F58">
        <v>413762</v>
      </c>
      <c r="G58">
        <v>12010787862</v>
      </c>
      <c r="H58">
        <v>124754</v>
      </c>
      <c r="I58">
        <v>10194680592</v>
      </c>
      <c r="J58">
        <v>168777</v>
      </c>
      <c r="K58">
        <v>11211820551</v>
      </c>
      <c r="L58">
        <v>167934</v>
      </c>
      <c r="M58">
        <v>8714177124</v>
      </c>
      <c r="N58">
        <v>123057</v>
      </c>
      <c r="O58">
        <v>5372904427</v>
      </c>
    </row>
    <row r="59" spans="2:15" x14ac:dyDescent="0.25">
      <c r="B59">
        <v>444237</v>
      </c>
      <c r="C59">
        <v>11752392002</v>
      </c>
      <c r="D59">
        <v>423770</v>
      </c>
      <c r="E59">
        <v>12774834845</v>
      </c>
      <c r="F59">
        <v>422225</v>
      </c>
      <c r="G59">
        <v>12010779617</v>
      </c>
      <c r="H59">
        <v>122211</v>
      </c>
      <c r="I59">
        <v>10194680573</v>
      </c>
      <c r="J59">
        <v>167607</v>
      </c>
      <c r="K59">
        <v>11211812266</v>
      </c>
      <c r="L59">
        <v>163020</v>
      </c>
      <c r="M59">
        <v>8714177146</v>
      </c>
      <c r="N59">
        <v>125901</v>
      </c>
      <c r="O59">
        <v>5372917549</v>
      </c>
    </row>
    <row r="60" spans="2:15" x14ac:dyDescent="0.25">
      <c r="B60">
        <v>438132</v>
      </c>
      <c r="C60">
        <v>11752404657</v>
      </c>
      <c r="D60">
        <v>426714</v>
      </c>
      <c r="E60">
        <v>12723850021</v>
      </c>
      <c r="F60">
        <v>425721</v>
      </c>
      <c r="G60">
        <v>12010774534</v>
      </c>
      <c r="H60">
        <v>127936</v>
      </c>
      <c r="I60">
        <v>10194680570</v>
      </c>
      <c r="J60">
        <v>177435</v>
      </c>
      <c r="K60">
        <v>11211820552</v>
      </c>
      <c r="L60">
        <v>164377</v>
      </c>
      <c r="M60">
        <v>8714177098</v>
      </c>
      <c r="N60">
        <v>125929</v>
      </c>
      <c r="O60">
        <v>5372892477</v>
      </c>
    </row>
    <row r="61" spans="2:15" x14ac:dyDescent="0.25">
      <c r="B61">
        <v>456992</v>
      </c>
      <c r="C61">
        <v>11752401631</v>
      </c>
      <c r="D61">
        <v>427735</v>
      </c>
      <c r="E61">
        <v>12749357237</v>
      </c>
      <c r="F61">
        <v>426448</v>
      </c>
      <c r="G61">
        <v>12010761282</v>
      </c>
      <c r="H61">
        <v>133255</v>
      </c>
      <c r="I61">
        <v>10194680559</v>
      </c>
      <c r="J61">
        <v>176061</v>
      </c>
      <c r="K61">
        <v>11211823751</v>
      </c>
      <c r="L61">
        <v>163161</v>
      </c>
      <c r="M61">
        <v>8714177113</v>
      </c>
      <c r="N61">
        <v>127132</v>
      </c>
      <c r="O61">
        <v>5372905481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1097965</v>
      </c>
      <c r="C65">
        <v>724700</v>
      </c>
      <c r="D65">
        <v>716952</v>
      </c>
      <c r="E65">
        <v>431481</v>
      </c>
      <c r="F65">
        <v>428299</v>
      </c>
      <c r="G65">
        <v>417332</v>
      </c>
      <c r="H65">
        <v>261784</v>
      </c>
      <c r="I65">
        <v>80605</v>
      </c>
      <c r="J65">
        <v>19063</v>
      </c>
    </row>
    <row r="66" spans="2:15" x14ac:dyDescent="0.25">
      <c r="B66">
        <v>1070608</v>
      </c>
      <c r="C66">
        <v>724923</v>
      </c>
      <c r="D66">
        <v>720392</v>
      </c>
      <c r="E66">
        <v>427925</v>
      </c>
      <c r="F66">
        <v>437378</v>
      </c>
      <c r="G66">
        <v>405679</v>
      </c>
      <c r="H66">
        <v>263953</v>
      </c>
      <c r="I66">
        <v>80128</v>
      </c>
      <c r="J66">
        <v>21029</v>
      </c>
    </row>
    <row r="67" spans="2:15" x14ac:dyDescent="0.25">
      <c r="B67">
        <v>1135245</v>
      </c>
      <c r="C67">
        <v>726519</v>
      </c>
      <c r="D67">
        <v>713383</v>
      </c>
      <c r="E67">
        <v>429718</v>
      </c>
      <c r="F67">
        <v>435147</v>
      </c>
      <c r="G67">
        <v>415460</v>
      </c>
      <c r="H67">
        <v>262866</v>
      </c>
      <c r="I67">
        <v>81717</v>
      </c>
      <c r="J67">
        <v>21310</v>
      </c>
    </row>
    <row r="68" spans="2:15" x14ac:dyDescent="0.25">
      <c r="B68">
        <v>1159613</v>
      </c>
      <c r="C68">
        <v>725796</v>
      </c>
      <c r="D68">
        <v>718365</v>
      </c>
      <c r="E68">
        <v>420468</v>
      </c>
      <c r="F68">
        <v>432573</v>
      </c>
      <c r="G68">
        <v>404197</v>
      </c>
      <c r="H68">
        <v>263562</v>
      </c>
      <c r="I68">
        <v>81468</v>
      </c>
      <c r="J68">
        <v>21341</v>
      </c>
    </row>
    <row r="69" spans="2:15" x14ac:dyDescent="0.25">
      <c r="B69">
        <v>1092869</v>
      </c>
      <c r="C69">
        <v>733313</v>
      </c>
      <c r="D69">
        <v>721442</v>
      </c>
      <c r="E69">
        <v>426552</v>
      </c>
      <c r="F69">
        <v>427425</v>
      </c>
      <c r="G69">
        <v>397848</v>
      </c>
      <c r="H69">
        <v>264485</v>
      </c>
      <c r="I69">
        <v>82237</v>
      </c>
      <c r="J69">
        <v>21372</v>
      </c>
    </row>
    <row r="70" spans="2:15" x14ac:dyDescent="0.25">
      <c r="B70">
        <v>1100247</v>
      </c>
      <c r="C70">
        <v>721688</v>
      </c>
      <c r="D70">
        <v>710686</v>
      </c>
      <c r="E70">
        <v>429937</v>
      </c>
      <c r="F70">
        <v>434976</v>
      </c>
      <c r="G70">
        <v>424040</v>
      </c>
      <c r="H70">
        <v>260558</v>
      </c>
      <c r="I70">
        <v>81642</v>
      </c>
      <c r="J70">
        <v>19266</v>
      </c>
    </row>
    <row r="71" spans="2:15" x14ac:dyDescent="0.25">
      <c r="B71">
        <v>1098406</v>
      </c>
      <c r="C71">
        <v>729982</v>
      </c>
      <c r="D71">
        <v>720173</v>
      </c>
      <c r="E71">
        <v>423307</v>
      </c>
      <c r="F71">
        <v>436661</v>
      </c>
      <c r="G71">
        <v>410063</v>
      </c>
      <c r="H71">
        <v>263384</v>
      </c>
      <c r="I71">
        <v>82460</v>
      </c>
      <c r="J71">
        <v>19219</v>
      </c>
    </row>
    <row r="72" spans="2:15" x14ac:dyDescent="0.25">
      <c r="B72">
        <v>1107303</v>
      </c>
      <c r="C72">
        <v>730705</v>
      </c>
      <c r="D72">
        <v>723680</v>
      </c>
      <c r="E72">
        <v>424852</v>
      </c>
      <c r="F72">
        <v>442074</v>
      </c>
      <c r="G72">
        <v>414555</v>
      </c>
      <c r="H72">
        <v>266156</v>
      </c>
      <c r="I72">
        <v>81714</v>
      </c>
      <c r="J72">
        <v>21419</v>
      </c>
    </row>
    <row r="73" spans="2:15" x14ac:dyDescent="0.25">
      <c r="B73">
        <v>1248316</v>
      </c>
      <c r="C73">
        <v>734372</v>
      </c>
      <c r="D73">
        <v>726390</v>
      </c>
      <c r="E73">
        <v>431949</v>
      </c>
      <c r="F73">
        <v>432713</v>
      </c>
      <c r="G73">
        <v>407800</v>
      </c>
      <c r="H73">
        <v>265833</v>
      </c>
      <c r="I73">
        <v>82427</v>
      </c>
      <c r="J73">
        <v>21496</v>
      </c>
    </row>
    <row r="74" spans="2:15" x14ac:dyDescent="0.25">
      <c r="B74">
        <v>1108045</v>
      </c>
      <c r="C74">
        <v>732201</v>
      </c>
      <c r="D74">
        <v>723032</v>
      </c>
      <c r="E74">
        <v>437971</v>
      </c>
      <c r="F74">
        <v>431808</v>
      </c>
      <c r="G74">
        <v>420530</v>
      </c>
      <c r="H74">
        <v>263665</v>
      </c>
      <c r="I74">
        <v>82651</v>
      </c>
      <c r="J74">
        <v>21497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72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AVERAGE(Table75[Newtonsoft (duration)])</f>
      </c>
      <c r="D38" s="2" t="e">
        <f>AVERAGE(Table75[.NET baked full (duration)])</f>
      </c>
      <c r="E38" s="2" t="e">
        <f>AVERAGE(Table75[.NET baked minimal (duration)])</f>
      </c>
      <c r="F38" s="2" t="e">
        <f>AVERAGE(Table75[Jackson (duration)])</f>
      </c>
      <c r="G38" s="2" t="e">
        <f>AVERAGE(Table75[JVM baked full (duration)])</f>
      </c>
      <c r="H38" s="2" t="e">
        <f>AVERAGE(Table75[JVM baked minimal (duration)])</f>
      </c>
      <c r="I38" s="2" t="e">
        <f>AVERAGE(Table75[Protobuf.NET (duration)])</f>
      </c>
      <c r="J38" s="2" t="e">
        <f>AVERAGE(Table76[.NET (instance only)])</f>
      </c>
      <c r="K38" s="2" t="e">
        <f>AVERAGE(Table76[JVM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AVERAGE(Table76[Newtonsoft (duration)])</f>
      </c>
      <c r="D40" s="2" t="e">
        <f>AVERAGE(Table76[.NET baked full (duration)])</f>
      </c>
      <c r="E40" s="2" t="e">
        <f>AVERAGE(Table76[.NET baked minimal (duration)])</f>
      </c>
      <c r="F40" s="2" t="e">
        <f>AVERAGE(Table76[Jackson (duration)])</f>
      </c>
      <c r="G40" s="2" t="e">
        <f>AVERAGE(Table76[JVM baked full (duration)])</f>
      </c>
      <c r="H40" s="2" t="e">
        <f>AVERAGE(Table76[JVM baked minimal (duration)])</f>
      </c>
      <c r="I40" s="2" t="e">
        <f>AVERAGE(Table76[Protobuf.NET (duration)])</f>
      </c>
      <c r="J40" s="2"/>
      <c r="K40" s="2"/>
    </row>
    <row r="41" spans="2:11" x14ac:dyDescent="0.25">
      <c r="B41" t="s">
        <v>8</v>
      </c>
      <c r="C41" s="3" t="e">
        <f>AVERAGE(Table75[Newtonsoft (size)])</f>
      </c>
      <c r="D41" s="3" t="e">
        <f>AVERAGE(Table75[.NET baked full (size)])</f>
      </c>
      <c r="E41" s="3" t="e">
        <f>AVERAGE(Table75[.NET baked minimal (size)])</f>
      </c>
      <c r="F41" s="3" t="e">
        <f>AVERAGE(Table75[Jackson (size)])</f>
      </c>
      <c r="G41" s="3" t="e">
        <f>AVERAGE(Table75[JVM baked full (size)])</f>
      </c>
      <c r="H41" s="3" t="e">
        <f>AVERAGE(Table75[JVM baked minimal (size)])</f>
      </c>
      <c r="I41" s="3" t="e">
        <f>AVERAGE(Table75[Protobuf.NET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DEVSQ(Table75[Newtonsoft (duration)])</f>
      </c>
      <c r="D46" s="2" t="e">
        <f>DEVSQ(Table75[.NET baked full (duration)])</f>
      </c>
      <c r="E46" s="2" t="e">
        <f>DEVSQ(Table75[.NET baked minimal (duration)])</f>
      </c>
      <c r="F46" s="2" t="e">
        <f>DEVSQ(Table75[Jackson (duration)])</f>
      </c>
      <c r="G46" s="2" t="e">
        <f>DEVSQ(Table75[JVM baked full (duration)])</f>
      </c>
      <c r="H46" s="2" t="e">
        <f>DEVSQ(Table75[JVM baked minimal (duration)])</f>
      </c>
      <c r="I46" s="2" t="e">
        <f>DEVSQ(Table75[Protobuf.NET (duration)])</f>
      </c>
    </row>
    <row r="47" spans="2:11" x14ac:dyDescent="0.25">
      <c r="B47" t="s">
        <v>1</v>
      </c>
      <c r="C47" s="2" t="e">
        <f>DEVSQ(Table76[Newtonsoft (duration)])</f>
      </c>
      <c r="D47" s="2" t="e">
        <f>DEVSQ(Table76[.NET baked full (duration)])</f>
      </c>
      <c r="E47" s="2" t="e">
        <f>DEVSQ(Table76[.NET baked minimal (duration)])</f>
      </c>
      <c r="F47" s="2" t="e">
        <f>DEVSQ(Table76[Jackson (duration)])</f>
      </c>
      <c r="G47" s="2" t="e">
        <f>DEVSQ(Table76[JVM baked full (duration)])</f>
      </c>
      <c r="H47" s="2" t="e">
        <f>DEVSQ(Table76[JVM baked minimal (duration)])</f>
      </c>
      <c r="I47" s="2" t="e">
        <f>DEVSQ(Table76[Protobuf.NET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2201</v>
      </c>
      <c r="C52">
        <v>55600602</v>
      </c>
      <c r="D52">
        <v>1792</v>
      </c>
      <c r="E52">
        <v>55027210</v>
      </c>
      <c r="F52">
        <v>1758</v>
      </c>
      <c r="G52">
        <v>51329314</v>
      </c>
      <c r="H52">
        <v>1591</v>
      </c>
      <c r="I52">
        <v>50016318</v>
      </c>
      <c r="J52">
        <v>1389</v>
      </c>
      <c r="K52">
        <v>53711914</v>
      </c>
      <c r="L52">
        <v>1388</v>
      </c>
      <c r="M52">
        <v>49958842</v>
      </c>
      <c r="N52">
        <v>821</v>
      </c>
      <c r="O52">
        <v>23140869</v>
      </c>
    </row>
    <row r="53" spans="2:15" x14ac:dyDescent="0.25">
      <c r="B53">
        <v>2115</v>
      </c>
      <c r="C53">
        <v>55600602</v>
      </c>
      <c r="D53">
        <v>1753</v>
      </c>
      <c r="E53">
        <v>55027210</v>
      </c>
      <c r="F53">
        <v>1737</v>
      </c>
      <c r="G53">
        <v>51329314</v>
      </c>
      <c r="H53">
        <v>1591</v>
      </c>
      <c r="I53">
        <v>50016314</v>
      </c>
      <c r="J53">
        <v>1435</v>
      </c>
      <c r="K53">
        <v>53711913</v>
      </c>
      <c r="L53">
        <v>1404</v>
      </c>
      <c r="M53">
        <v>49958841</v>
      </c>
      <c r="N53">
        <v>856</v>
      </c>
      <c r="O53">
        <v>23140869</v>
      </c>
    </row>
    <row r="54" spans="2:15" x14ac:dyDescent="0.25">
      <c r="B54">
        <v>2150</v>
      </c>
      <c r="C54">
        <v>55600602</v>
      </c>
      <c r="D54">
        <v>1697</v>
      </c>
      <c r="E54">
        <v>55027210</v>
      </c>
      <c r="F54">
        <v>1698</v>
      </c>
      <c r="G54">
        <v>51329314</v>
      </c>
      <c r="H54">
        <v>1591</v>
      </c>
      <c r="I54">
        <v>50016322</v>
      </c>
      <c r="J54">
        <v>1357</v>
      </c>
      <c r="K54">
        <v>53711911</v>
      </c>
      <c r="L54">
        <v>1451</v>
      </c>
      <c r="M54">
        <v>49958840</v>
      </c>
      <c r="N54">
        <v>836</v>
      </c>
      <c r="O54">
        <v>23140869</v>
      </c>
    </row>
    <row r="55" spans="2:15" x14ac:dyDescent="0.25">
      <c r="B55">
        <v>2116</v>
      </c>
      <c r="C55">
        <v>55600602</v>
      </c>
      <c r="D55">
        <v>1765</v>
      </c>
      <c r="E55">
        <v>55027210</v>
      </c>
      <c r="F55">
        <v>1758</v>
      </c>
      <c r="G55">
        <v>51329314</v>
      </c>
      <c r="H55">
        <v>1575</v>
      </c>
      <c r="I55">
        <v>50016317</v>
      </c>
      <c r="J55">
        <v>1419</v>
      </c>
      <c r="K55">
        <v>53711919</v>
      </c>
      <c r="L55">
        <v>1420</v>
      </c>
      <c r="M55">
        <v>49958839</v>
      </c>
      <c r="N55">
        <v>772</v>
      </c>
      <c r="O55">
        <v>23140869</v>
      </c>
    </row>
    <row r="56" spans="2:15" x14ac:dyDescent="0.25">
      <c r="B56">
        <v>2159</v>
      </c>
      <c r="C56">
        <v>55600602</v>
      </c>
      <c r="D56">
        <v>1797</v>
      </c>
      <c r="E56">
        <v>54698860</v>
      </c>
      <c r="F56">
        <v>1768</v>
      </c>
      <c r="G56">
        <v>51000964</v>
      </c>
      <c r="H56">
        <v>1638</v>
      </c>
      <c r="I56">
        <v>50016320</v>
      </c>
      <c r="J56">
        <v>1435</v>
      </c>
      <c r="K56">
        <v>53711917</v>
      </c>
      <c r="L56">
        <v>1388</v>
      </c>
      <c r="M56">
        <v>49958839</v>
      </c>
      <c r="N56">
        <v>836</v>
      </c>
      <c r="O56">
        <v>23140869</v>
      </c>
    </row>
    <row r="57" spans="2:15" x14ac:dyDescent="0.25">
      <c r="B57">
        <v>2180</v>
      </c>
      <c r="C57">
        <v>55600602</v>
      </c>
      <c r="D57">
        <v>1754</v>
      </c>
      <c r="E57">
        <v>55027210</v>
      </c>
      <c r="F57">
        <v>1742</v>
      </c>
      <c r="G57">
        <v>51329314</v>
      </c>
      <c r="H57">
        <v>1576</v>
      </c>
      <c r="I57">
        <v>50016317</v>
      </c>
      <c r="J57">
        <v>1389</v>
      </c>
      <c r="K57">
        <v>53711913</v>
      </c>
      <c r="L57">
        <v>1388</v>
      </c>
      <c r="M57">
        <v>49958838</v>
      </c>
      <c r="N57">
        <v>811</v>
      </c>
      <c r="O57">
        <v>23140869</v>
      </c>
    </row>
    <row r="58" spans="2:15" x14ac:dyDescent="0.25">
      <c r="B58">
        <v>2271</v>
      </c>
      <c r="C58">
        <v>55600602</v>
      </c>
      <c r="D58">
        <v>1794</v>
      </c>
      <c r="E58">
        <v>55027210</v>
      </c>
      <c r="F58">
        <v>1749</v>
      </c>
      <c r="G58">
        <v>51329314</v>
      </c>
      <c r="H58">
        <v>1638</v>
      </c>
      <c r="I58">
        <v>50016322</v>
      </c>
      <c r="J58">
        <v>1388</v>
      </c>
      <c r="K58">
        <v>53711914</v>
      </c>
      <c r="L58">
        <v>1389</v>
      </c>
      <c r="M58">
        <v>49958839</v>
      </c>
      <c r="N58">
        <v>831</v>
      </c>
      <c r="O58">
        <v>23140869</v>
      </c>
    </row>
    <row r="59" spans="2:15" x14ac:dyDescent="0.25">
      <c r="B59">
        <v>2137</v>
      </c>
      <c r="C59">
        <v>55600602</v>
      </c>
      <c r="D59">
        <v>1751</v>
      </c>
      <c r="E59">
        <v>55027210</v>
      </c>
      <c r="F59">
        <v>1751</v>
      </c>
      <c r="G59">
        <v>51329314</v>
      </c>
      <c r="H59">
        <v>1560</v>
      </c>
      <c r="I59">
        <v>50016316</v>
      </c>
      <c r="J59">
        <v>1451</v>
      </c>
      <c r="K59">
        <v>53711913</v>
      </c>
      <c r="L59">
        <v>1388</v>
      </c>
      <c r="M59">
        <v>49958842</v>
      </c>
      <c r="N59">
        <v>782</v>
      </c>
      <c r="O59">
        <v>23140869</v>
      </c>
    </row>
    <row r="60" spans="2:15" x14ac:dyDescent="0.25">
      <c r="B60">
        <v>2120</v>
      </c>
      <c r="C60">
        <v>55600602</v>
      </c>
      <c r="D60">
        <v>1787</v>
      </c>
      <c r="E60">
        <v>55027210</v>
      </c>
      <c r="F60">
        <v>1751</v>
      </c>
      <c r="G60">
        <v>51329314</v>
      </c>
      <c r="H60">
        <v>1592</v>
      </c>
      <c r="I60">
        <v>50016320</v>
      </c>
      <c r="J60">
        <v>1436</v>
      </c>
      <c r="K60">
        <v>53711912</v>
      </c>
      <c r="L60">
        <v>1388</v>
      </c>
      <c r="M60">
        <v>49958840</v>
      </c>
      <c r="N60">
        <v>836</v>
      </c>
      <c r="O60">
        <v>23140869</v>
      </c>
    </row>
    <row r="61" spans="2:15" x14ac:dyDescent="0.25">
      <c r="B61">
        <v>2176</v>
      </c>
      <c r="C61">
        <v>55272252</v>
      </c>
      <c r="D61">
        <v>1777</v>
      </c>
      <c r="E61">
        <v>55027210</v>
      </c>
      <c r="F61">
        <v>1759</v>
      </c>
      <c r="G61">
        <v>51329314</v>
      </c>
      <c r="H61">
        <v>1592</v>
      </c>
      <c r="I61">
        <v>50016316</v>
      </c>
      <c r="J61">
        <v>1420</v>
      </c>
      <c r="K61">
        <v>53711920</v>
      </c>
      <c r="L61">
        <v>1420</v>
      </c>
      <c r="M61">
        <v>49958838</v>
      </c>
      <c r="N61">
        <v>823</v>
      </c>
      <c r="O61">
        <v>23140869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4763</v>
      </c>
      <c r="C65">
        <v>3353</v>
      </c>
      <c r="D65">
        <v>3548</v>
      </c>
      <c r="E65">
        <v>3495</v>
      </c>
      <c r="F65">
        <v>3120</v>
      </c>
      <c r="G65">
        <v>3105</v>
      </c>
      <c r="H65">
        <v>1698</v>
      </c>
      <c r="I65">
        <v>455</v>
      </c>
      <c r="J65">
        <v>624</v>
      </c>
    </row>
    <row r="66" spans="2:15" x14ac:dyDescent="0.25">
      <c r="B66">
        <v>4833</v>
      </c>
      <c r="C66">
        <v>3347</v>
      </c>
      <c r="D66">
        <v>3256</v>
      </c>
      <c r="E66">
        <v>3338</v>
      </c>
      <c r="F66">
        <v>3167</v>
      </c>
      <c r="G66">
        <v>3151</v>
      </c>
      <c r="H66">
        <v>1656</v>
      </c>
      <c r="I66">
        <v>457</v>
      </c>
      <c r="J66">
        <v>593</v>
      </c>
    </row>
    <row r="67" spans="2:15" x14ac:dyDescent="0.25">
      <c r="B67">
        <v>4935</v>
      </c>
      <c r="C67">
        <v>3338</v>
      </c>
      <c r="D67">
        <v>3289</v>
      </c>
      <c r="E67">
        <v>3448</v>
      </c>
      <c r="F67">
        <v>3105</v>
      </c>
      <c r="G67">
        <v>3167</v>
      </c>
      <c r="H67">
        <v>1647</v>
      </c>
      <c r="I67">
        <v>459</v>
      </c>
      <c r="J67">
        <v>640</v>
      </c>
    </row>
    <row r="68" spans="2:15" x14ac:dyDescent="0.25">
      <c r="B68">
        <v>4749</v>
      </c>
      <c r="C68">
        <v>3330</v>
      </c>
      <c r="D68">
        <v>3269</v>
      </c>
      <c r="E68">
        <v>3260</v>
      </c>
      <c r="F68">
        <v>3058</v>
      </c>
      <c r="G68">
        <v>3136</v>
      </c>
      <c r="H68">
        <v>1663</v>
      </c>
      <c r="I68">
        <v>461</v>
      </c>
      <c r="J68">
        <v>640</v>
      </c>
    </row>
    <row r="69" spans="2:15" x14ac:dyDescent="0.25">
      <c r="B69">
        <v>4738</v>
      </c>
      <c r="C69">
        <v>3320</v>
      </c>
      <c r="D69">
        <v>3288</v>
      </c>
      <c r="E69">
        <v>3354</v>
      </c>
      <c r="F69">
        <v>3073</v>
      </c>
      <c r="G69">
        <v>3120</v>
      </c>
      <c r="H69">
        <v>1656</v>
      </c>
      <c r="I69">
        <v>446</v>
      </c>
      <c r="J69">
        <v>593</v>
      </c>
    </row>
    <row r="70" spans="2:15" x14ac:dyDescent="0.25">
      <c r="B70">
        <v>4631</v>
      </c>
      <c r="C70">
        <v>3280</v>
      </c>
      <c r="D70">
        <v>3288</v>
      </c>
      <c r="E70">
        <v>3447</v>
      </c>
      <c r="F70">
        <v>3136</v>
      </c>
      <c r="G70">
        <v>3213</v>
      </c>
      <c r="H70">
        <v>1678</v>
      </c>
      <c r="I70">
        <v>460</v>
      </c>
      <c r="J70">
        <v>609</v>
      </c>
    </row>
    <row r="71" spans="2:15" x14ac:dyDescent="0.25">
      <c r="B71">
        <v>4792</v>
      </c>
      <c r="C71">
        <v>3368</v>
      </c>
      <c r="D71">
        <v>3299</v>
      </c>
      <c r="E71">
        <v>3463</v>
      </c>
      <c r="F71">
        <v>3058</v>
      </c>
      <c r="G71">
        <v>3089</v>
      </c>
      <c r="H71">
        <v>1700</v>
      </c>
      <c r="I71">
        <v>438</v>
      </c>
      <c r="J71">
        <v>593</v>
      </c>
    </row>
    <row r="72" spans="2:15" x14ac:dyDescent="0.25">
      <c r="B72">
        <v>4795</v>
      </c>
      <c r="C72">
        <v>3330</v>
      </c>
      <c r="D72">
        <v>3205</v>
      </c>
      <c r="E72">
        <v>3323</v>
      </c>
      <c r="F72">
        <v>3089</v>
      </c>
      <c r="G72">
        <v>3073</v>
      </c>
      <c r="H72">
        <v>1762</v>
      </c>
      <c r="I72">
        <v>448</v>
      </c>
      <c r="J72">
        <v>593</v>
      </c>
    </row>
    <row r="73" spans="2:15" x14ac:dyDescent="0.25">
      <c r="B73">
        <v>4783</v>
      </c>
      <c r="C73">
        <v>3379</v>
      </c>
      <c r="D73">
        <v>3273</v>
      </c>
      <c r="E73">
        <v>3354</v>
      </c>
      <c r="F73">
        <v>3042</v>
      </c>
      <c r="G73">
        <v>3089</v>
      </c>
      <c r="H73">
        <v>1665</v>
      </c>
      <c r="I73">
        <v>476</v>
      </c>
      <c r="J73">
        <v>593</v>
      </c>
    </row>
    <row r="74" spans="2:15" x14ac:dyDescent="0.25">
      <c r="B74">
        <v>4770</v>
      </c>
      <c r="C74">
        <v>3281</v>
      </c>
      <c r="D74">
        <v>3251</v>
      </c>
      <c r="E74">
        <v>3323</v>
      </c>
      <c r="F74">
        <v>3089</v>
      </c>
      <c r="G74">
        <v>3089</v>
      </c>
      <c r="H74">
        <v>1596</v>
      </c>
      <c r="I74">
        <v>446</v>
      </c>
      <c r="J74">
        <v>639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73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AVERAGE(Table79[Newtonsoft (duration)])</f>
      </c>
      <c r="D38" s="2" t="e">
        <f>AVERAGE(Table79[.NET baked full (duration)])</f>
      </c>
      <c r="E38" s="2" t="e">
        <f>AVERAGE(Table79[.NET baked minimal (duration)])</f>
      </c>
      <c r="F38" s="2" t="e">
        <f>AVERAGE(Table79[Jackson (duration)])</f>
      </c>
      <c r="G38" s="2" t="e">
        <f>AVERAGE(Table79[JVM baked full (duration)])</f>
      </c>
      <c r="H38" s="2" t="e">
        <f>AVERAGE(Table79[JVM baked minimal (duration)])</f>
      </c>
      <c r="I38" s="2" t="e">
        <f>AVERAGE(Table79[Protobuf.NET (duration)])</f>
      </c>
      <c r="J38" s="2" t="e">
        <f>AVERAGE(Table80[.NET (instance only)])</f>
      </c>
      <c r="K38" s="2" t="e">
        <f>AVERAGE(Table80[JVM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AVERAGE(Table80[Newtonsoft (duration)])</f>
      </c>
      <c r="D40" s="2" t="e">
        <f>AVERAGE(Table80[.NET baked full (duration)])</f>
      </c>
      <c r="E40" s="2" t="e">
        <f>AVERAGE(Table80[.NET baked minimal (duration)])</f>
      </c>
      <c r="F40" s="2" t="e">
        <f>AVERAGE(Table80[Jackson (duration)])</f>
      </c>
      <c r="G40" s="2" t="e">
        <f>AVERAGE(Table80[JVM baked full (duration)])</f>
      </c>
      <c r="H40" s="2" t="e">
        <f>AVERAGE(Table80[JVM baked minimal (duration)])</f>
      </c>
      <c r="I40" s="2" t="e">
        <f>AVERAGE(Table80[Protobuf.NET (duration)])</f>
      </c>
      <c r="J40" s="2"/>
      <c r="K40" s="2"/>
    </row>
    <row r="41" spans="2:11" x14ac:dyDescent="0.25">
      <c r="B41" t="s">
        <v>8</v>
      </c>
      <c r="C41" s="3" t="e">
        <f>AVERAGE(Table79[Newtonsoft (size)])</f>
      </c>
      <c r="D41" s="3" t="e">
        <f>AVERAGE(Table79[.NET baked full (size)])</f>
      </c>
      <c r="E41" s="3" t="e">
        <f>AVERAGE(Table79[.NET baked minimal (size)])</f>
      </c>
      <c r="F41" s="3" t="e">
        <f>AVERAGE(Table79[Jackson (size)])</f>
      </c>
      <c r="G41" s="3" t="e">
        <f>AVERAGE(Table79[JVM baked full (size)])</f>
      </c>
      <c r="H41" s="3" t="e">
        <f>AVERAGE(Table79[JVM baked minimal (size)])</f>
      </c>
      <c r="I41" s="3" t="e">
        <f>AVERAGE(Table79[Protobuf.NET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DEVSQ(Table79[Newtonsoft (duration)])</f>
      </c>
      <c r="D46" s="2" t="e">
        <f>DEVSQ(Table79[.NET baked full (duration)])</f>
      </c>
      <c r="E46" s="2" t="e">
        <f>DEVSQ(Table79[.NET baked minimal (duration)])</f>
      </c>
      <c r="F46" s="2" t="e">
        <f>DEVSQ(Table79[Jackson (duration)])</f>
      </c>
      <c r="G46" s="2" t="e">
        <f>DEVSQ(Table79[JVM baked full (duration)])</f>
      </c>
      <c r="H46" s="2" t="e">
        <f>DEVSQ(Table79[JVM baked minimal (duration)])</f>
      </c>
      <c r="I46" s="2" t="e">
        <f>DEVSQ(Table79[Protobuf.NET (duration)])</f>
      </c>
    </row>
    <row r="47" spans="2:11" x14ac:dyDescent="0.25">
      <c r="B47" t="s">
        <v>1</v>
      </c>
      <c r="C47" s="2" t="e">
        <f>DEVSQ(Table80[Newtonsoft (duration)])</f>
      </c>
      <c r="D47" s="2" t="e">
        <f>DEVSQ(Table80[.NET baked full (duration)])</f>
      </c>
      <c r="E47" s="2" t="e">
        <f>DEVSQ(Table80[.NET baked minimal (duration)])</f>
      </c>
      <c r="F47" s="2" t="e">
        <f>DEVSQ(Table80[Jackson (duration)])</f>
      </c>
      <c r="G47" s="2" t="e">
        <f>DEVSQ(Table80[JVM baked full (duration)])</f>
      </c>
      <c r="H47" s="2" t="e">
        <f>DEVSQ(Table80[JVM baked minimal (duration)])</f>
      </c>
      <c r="I47" s="2" t="e">
        <f>DEVSQ(Table80[Protobuf.NET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19470</v>
      </c>
      <c r="C52">
        <v>555727229</v>
      </c>
      <c r="D52">
        <v>16630</v>
      </c>
      <c r="E52">
        <v>549981523</v>
      </c>
      <c r="F52">
        <v>16424</v>
      </c>
      <c r="G52">
        <v>513014222</v>
      </c>
      <c r="H52">
        <v>6755</v>
      </c>
      <c r="I52">
        <v>499827634</v>
      </c>
      <c r="J52">
        <v>8252</v>
      </c>
      <c r="K52">
        <v>536784036</v>
      </c>
      <c r="L52">
        <v>8159</v>
      </c>
      <c r="M52">
        <v>499264955</v>
      </c>
      <c r="N52">
        <v>6856</v>
      </c>
      <c r="O52">
        <v>232028678</v>
      </c>
    </row>
    <row r="53" spans="2:15" x14ac:dyDescent="0.25">
      <c r="B53">
        <v>19409</v>
      </c>
      <c r="C53">
        <v>555727229</v>
      </c>
      <c r="D53">
        <v>16520</v>
      </c>
      <c r="E53">
        <v>549981523</v>
      </c>
      <c r="F53">
        <v>16424</v>
      </c>
      <c r="G53">
        <v>513014222</v>
      </c>
      <c r="H53">
        <v>6849</v>
      </c>
      <c r="I53">
        <v>499827634</v>
      </c>
      <c r="J53">
        <v>8315</v>
      </c>
      <c r="K53">
        <v>536784028</v>
      </c>
      <c r="L53">
        <v>8159</v>
      </c>
      <c r="M53">
        <v>499264949</v>
      </c>
      <c r="N53">
        <v>6952</v>
      </c>
      <c r="O53">
        <v>232028678</v>
      </c>
    </row>
    <row r="54" spans="2:15" x14ac:dyDescent="0.25">
      <c r="B54">
        <v>19371</v>
      </c>
      <c r="C54">
        <v>555727229</v>
      </c>
      <c r="D54">
        <v>16653</v>
      </c>
      <c r="E54">
        <v>549981523</v>
      </c>
      <c r="F54">
        <v>16326</v>
      </c>
      <c r="G54">
        <v>513014222</v>
      </c>
      <c r="H54">
        <v>6614</v>
      </c>
      <c r="I54">
        <v>499827638</v>
      </c>
      <c r="J54">
        <v>8346</v>
      </c>
      <c r="K54">
        <v>536784032</v>
      </c>
      <c r="L54">
        <v>8284</v>
      </c>
      <c r="M54">
        <v>499264955</v>
      </c>
      <c r="N54">
        <v>6849</v>
      </c>
      <c r="O54">
        <v>232028678</v>
      </c>
    </row>
    <row r="55" spans="2:15" x14ac:dyDescent="0.25">
      <c r="B55">
        <v>19325</v>
      </c>
      <c r="C55">
        <v>555727229</v>
      </c>
      <c r="D55">
        <v>16592</v>
      </c>
      <c r="E55">
        <v>549981523</v>
      </c>
      <c r="F55">
        <v>16327</v>
      </c>
      <c r="G55">
        <v>513014222</v>
      </c>
      <c r="H55">
        <v>6879</v>
      </c>
      <c r="I55">
        <v>499827634</v>
      </c>
      <c r="J55">
        <v>8268</v>
      </c>
      <c r="K55">
        <v>536784035</v>
      </c>
      <c r="L55">
        <v>8268</v>
      </c>
      <c r="M55">
        <v>499264954</v>
      </c>
      <c r="N55">
        <v>6770</v>
      </c>
      <c r="O55">
        <v>232028678</v>
      </c>
    </row>
    <row r="56" spans="2:15" x14ac:dyDescent="0.25">
      <c r="B56">
        <v>19637</v>
      </c>
      <c r="C56">
        <v>555727229</v>
      </c>
      <c r="D56">
        <v>16589</v>
      </c>
      <c r="E56">
        <v>549981523</v>
      </c>
      <c r="F56">
        <v>16322</v>
      </c>
      <c r="G56">
        <v>513014222</v>
      </c>
      <c r="H56">
        <v>6754</v>
      </c>
      <c r="I56">
        <v>499827630</v>
      </c>
      <c r="J56">
        <v>8346</v>
      </c>
      <c r="K56">
        <v>536784041</v>
      </c>
      <c r="L56">
        <v>8190</v>
      </c>
      <c r="M56">
        <v>499264950</v>
      </c>
      <c r="N56">
        <v>6878</v>
      </c>
      <c r="O56">
        <v>232028678</v>
      </c>
    </row>
    <row r="57" spans="2:15" x14ac:dyDescent="0.25">
      <c r="B57">
        <v>19404</v>
      </c>
      <c r="C57">
        <v>555727229</v>
      </c>
      <c r="D57">
        <v>16635</v>
      </c>
      <c r="E57">
        <v>549981523</v>
      </c>
      <c r="F57">
        <v>16452</v>
      </c>
      <c r="G57">
        <v>513014222</v>
      </c>
      <c r="H57">
        <v>6739</v>
      </c>
      <c r="I57">
        <v>499827639</v>
      </c>
      <c r="J57">
        <v>8159</v>
      </c>
      <c r="K57">
        <v>536784041</v>
      </c>
      <c r="L57">
        <v>8127</v>
      </c>
      <c r="M57">
        <v>499264949</v>
      </c>
      <c r="N57">
        <v>6824</v>
      </c>
      <c r="O57">
        <v>232028678</v>
      </c>
    </row>
    <row r="58" spans="2:15" x14ac:dyDescent="0.25">
      <c r="B58">
        <v>19680</v>
      </c>
      <c r="C58">
        <v>555727229</v>
      </c>
      <c r="D58">
        <v>16539</v>
      </c>
      <c r="E58">
        <v>549981523</v>
      </c>
      <c r="F58">
        <v>16318</v>
      </c>
      <c r="G58">
        <v>513014222</v>
      </c>
      <c r="H58">
        <v>6771</v>
      </c>
      <c r="I58">
        <v>499827639</v>
      </c>
      <c r="J58">
        <v>8159</v>
      </c>
      <c r="K58">
        <v>536784031</v>
      </c>
      <c r="L58">
        <v>8174</v>
      </c>
      <c r="M58">
        <v>499264956</v>
      </c>
      <c r="N58">
        <v>6764</v>
      </c>
      <c r="O58">
        <v>232028678</v>
      </c>
    </row>
    <row r="59" spans="2:15" x14ac:dyDescent="0.25">
      <c r="B59">
        <v>19677</v>
      </c>
      <c r="C59">
        <v>555727229</v>
      </c>
      <c r="D59">
        <v>16667</v>
      </c>
      <c r="E59">
        <v>549981523</v>
      </c>
      <c r="F59">
        <v>16410</v>
      </c>
      <c r="G59">
        <v>509730722</v>
      </c>
      <c r="H59">
        <v>6646</v>
      </c>
      <c r="I59">
        <v>499827630</v>
      </c>
      <c r="J59">
        <v>8221</v>
      </c>
      <c r="K59">
        <v>536784033</v>
      </c>
      <c r="L59">
        <v>8112</v>
      </c>
      <c r="M59">
        <v>499264948</v>
      </c>
      <c r="N59">
        <v>6888</v>
      </c>
      <c r="O59">
        <v>232028678</v>
      </c>
    </row>
    <row r="60" spans="2:15" x14ac:dyDescent="0.25">
      <c r="B60">
        <v>19078</v>
      </c>
      <c r="C60">
        <v>555727229</v>
      </c>
      <c r="D60">
        <v>16566</v>
      </c>
      <c r="E60">
        <v>549981523</v>
      </c>
      <c r="F60">
        <v>16318</v>
      </c>
      <c r="G60">
        <v>513014222</v>
      </c>
      <c r="H60">
        <v>6646</v>
      </c>
      <c r="I60">
        <v>499827636</v>
      </c>
      <c r="J60">
        <v>8253</v>
      </c>
      <c r="K60">
        <v>536784040</v>
      </c>
      <c r="L60">
        <v>8221</v>
      </c>
      <c r="M60">
        <v>499264959</v>
      </c>
      <c r="N60">
        <v>6920</v>
      </c>
      <c r="O60">
        <v>232028678</v>
      </c>
    </row>
    <row r="61" spans="2:15" x14ac:dyDescent="0.25">
      <c r="B61">
        <v>19452</v>
      </c>
      <c r="C61">
        <v>555727229</v>
      </c>
      <c r="D61">
        <v>16675</v>
      </c>
      <c r="E61">
        <v>549981523</v>
      </c>
      <c r="F61">
        <v>16378</v>
      </c>
      <c r="G61">
        <v>513014222</v>
      </c>
      <c r="H61">
        <v>6536</v>
      </c>
      <c r="I61">
        <v>499827637</v>
      </c>
      <c r="J61">
        <v>8174</v>
      </c>
      <c r="K61">
        <v>536784040</v>
      </c>
      <c r="L61">
        <v>8050</v>
      </c>
      <c r="M61">
        <v>499264954</v>
      </c>
      <c r="N61">
        <v>6877</v>
      </c>
      <c r="O61">
        <v>232028678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44320</v>
      </c>
      <c r="C65">
        <v>31945</v>
      </c>
      <c r="D65">
        <v>30804</v>
      </c>
      <c r="E65">
        <v>19204</v>
      </c>
      <c r="F65">
        <v>19329</v>
      </c>
      <c r="G65">
        <v>19266</v>
      </c>
      <c r="H65">
        <v>15231</v>
      </c>
      <c r="I65">
        <v>4319</v>
      </c>
      <c r="J65">
        <v>1482</v>
      </c>
    </row>
    <row r="66" spans="2:15" x14ac:dyDescent="0.25">
      <c r="B66">
        <v>44467</v>
      </c>
      <c r="C66">
        <v>31643</v>
      </c>
      <c r="D66">
        <v>30935</v>
      </c>
      <c r="E66">
        <v>19656</v>
      </c>
      <c r="F66">
        <v>19875</v>
      </c>
      <c r="G66">
        <v>19858</v>
      </c>
      <c r="H66">
        <v>15309</v>
      </c>
      <c r="I66">
        <v>4310</v>
      </c>
      <c r="J66">
        <v>1482</v>
      </c>
    </row>
    <row r="67" spans="2:15" x14ac:dyDescent="0.25">
      <c r="B67">
        <v>44214</v>
      </c>
      <c r="C67">
        <v>31697</v>
      </c>
      <c r="D67">
        <v>30959</v>
      </c>
      <c r="E67">
        <v>19110</v>
      </c>
      <c r="F67">
        <v>19812</v>
      </c>
      <c r="G67">
        <v>19953</v>
      </c>
      <c r="H67">
        <v>15165</v>
      </c>
      <c r="I67">
        <v>4334</v>
      </c>
      <c r="J67">
        <v>1576</v>
      </c>
    </row>
    <row r="68" spans="2:15" x14ac:dyDescent="0.25">
      <c r="B68">
        <v>44600</v>
      </c>
      <c r="C68">
        <v>32202</v>
      </c>
      <c r="D68">
        <v>31118</v>
      </c>
      <c r="E68">
        <v>19251</v>
      </c>
      <c r="F68">
        <v>20498</v>
      </c>
      <c r="G68">
        <v>19625</v>
      </c>
      <c r="H68">
        <v>15249</v>
      </c>
      <c r="I68">
        <v>4342</v>
      </c>
      <c r="J68">
        <v>1560</v>
      </c>
    </row>
    <row r="69" spans="2:15" x14ac:dyDescent="0.25">
      <c r="B69">
        <v>45009</v>
      </c>
      <c r="C69">
        <v>31797</v>
      </c>
      <c r="D69">
        <v>31395</v>
      </c>
      <c r="E69">
        <v>19235</v>
      </c>
      <c r="F69">
        <v>20078</v>
      </c>
      <c r="G69">
        <v>19937</v>
      </c>
      <c r="H69">
        <v>15199</v>
      </c>
      <c r="I69">
        <v>4253</v>
      </c>
      <c r="J69">
        <v>1545</v>
      </c>
    </row>
    <row r="70" spans="2:15" x14ac:dyDescent="0.25">
      <c r="B70">
        <v>43691</v>
      </c>
      <c r="C70">
        <v>32096</v>
      </c>
      <c r="D70">
        <v>31309</v>
      </c>
      <c r="E70">
        <v>19016</v>
      </c>
      <c r="F70">
        <v>20218</v>
      </c>
      <c r="G70">
        <v>19017</v>
      </c>
      <c r="H70">
        <v>15321</v>
      </c>
      <c r="I70">
        <v>4308</v>
      </c>
      <c r="J70">
        <v>1513</v>
      </c>
    </row>
    <row r="71" spans="2:15" x14ac:dyDescent="0.25">
      <c r="B71">
        <v>44119</v>
      </c>
      <c r="C71">
        <v>31438</v>
      </c>
      <c r="D71">
        <v>31025</v>
      </c>
      <c r="E71">
        <v>19328</v>
      </c>
      <c r="F71">
        <v>19765</v>
      </c>
      <c r="G71">
        <v>20124</v>
      </c>
      <c r="H71">
        <v>15212</v>
      </c>
      <c r="I71">
        <v>4270</v>
      </c>
      <c r="J71">
        <v>1497</v>
      </c>
    </row>
    <row r="72" spans="2:15" x14ac:dyDescent="0.25">
      <c r="B72">
        <v>43691</v>
      </c>
      <c r="C72">
        <v>31834</v>
      </c>
      <c r="D72">
        <v>30510</v>
      </c>
      <c r="E72">
        <v>18876</v>
      </c>
      <c r="F72">
        <v>19640</v>
      </c>
      <c r="G72">
        <v>19391</v>
      </c>
      <c r="H72">
        <v>15270</v>
      </c>
      <c r="I72">
        <v>4274</v>
      </c>
      <c r="J72">
        <v>1529</v>
      </c>
    </row>
    <row r="73" spans="2:15" x14ac:dyDescent="0.25">
      <c r="B73">
        <v>44328</v>
      </c>
      <c r="C73">
        <v>31571</v>
      </c>
      <c r="D73">
        <v>30863</v>
      </c>
      <c r="E73">
        <v>18813</v>
      </c>
      <c r="F73">
        <v>19656</v>
      </c>
      <c r="G73">
        <v>19672</v>
      </c>
      <c r="H73">
        <v>15075</v>
      </c>
      <c r="I73">
        <v>4255</v>
      </c>
      <c r="J73">
        <v>1528</v>
      </c>
    </row>
    <row r="74" spans="2:15" x14ac:dyDescent="0.25">
      <c r="B74">
        <v>45436</v>
      </c>
      <c r="C74">
        <v>31645</v>
      </c>
      <c r="D74">
        <v>30679</v>
      </c>
      <c r="E74">
        <v>18642</v>
      </c>
      <c r="F74">
        <v>19749</v>
      </c>
      <c r="G74">
        <v>19937</v>
      </c>
      <c r="H74">
        <v>15459</v>
      </c>
      <c r="I74">
        <v>4255</v>
      </c>
      <c r="J74">
        <v>1498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56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AVERAGE(Table11[Newtonsoft (duration)])</f>
      </c>
      <c r="D38" s="2" t="e">
        <f>AVERAGE(Table11[.NET baked full (duration)])</f>
      </c>
      <c r="E38" s="2" t="e">
        <f>AVERAGE(Table11[.NET baked minimal (duration)])</f>
      </c>
      <c r="F38" s="2" t="e">
        <f>AVERAGE(Table11[Jackson (duration)])</f>
      </c>
      <c r="G38" s="2" t="e">
        <f>AVERAGE(Table11[JVM baked full (duration)])</f>
      </c>
      <c r="H38" s="2" t="e">
        <f>AVERAGE(Table11[JVM baked minimal (duration)])</f>
      </c>
      <c r="I38" s="2" t="e">
        <f>AVERAGE(Table11[Protobuf.NET (duration)])</f>
      </c>
      <c r="J38" s="2" t="e">
        <f>AVERAGE(Table12[.NET (instance only)])</f>
      </c>
      <c r="K38" s="2" t="e">
        <f>AVERAGE(Table12[JVM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AVERAGE(Table12[Newtonsoft (duration)])</f>
      </c>
      <c r="D40" s="2" t="e">
        <f>AVERAGE(Table12[.NET baked full (duration)])</f>
      </c>
      <c r="E40" s="2" t="e">
        <f>AVERAGE(Table12[.NET baked minimal (duration)])</f>
      </c>
      <c r="F40" s="2" t="e">
        <f>AVERAGE(Table12[Jackson (duration)])</f>
      </c>
      <c r="G40" s="2" t="e">
        <f>AVERAGE(Table12[JVM baked full (duration)])</f>
      </c>
      <c r="H40" s="2" t="e">
        <f>AVERAGE(Table12[JVM baked minimal (duration)])</f>
      </c>
      <c r="I40" s="2" t="e">
        <f>AVERAGE(Table12[Protobuf.NET (duration)])</f>
      </c>
      <c r="J40" s="2"/>
      <c r="K40" s="2"/>
    </row>
    <row r="41" spans="2:11" x14ac:dyDescent="0.25">
      <c r="B41" t="s">
        <v>8</v>
      </c>
      <c r="C41" s="3" t="e">
        <f>AVERAGE(Table11[Newtonsoft (size)])</f>
      </c>
      <c r="D41" s="3" t="e">
        <f>AVERAGE(Table11[.NET baked full (size)])</f>
      </c>
      <c r="E41" s="3" t="e">
        <f>AVERAGE(Table11[.NET baked minimal (size)])</f>
      </c>
      <c r="F41" s="3" t="e">
        <f>AVERAGE(Table11[Jackson (size)])</f>
      </c>
      <c r="G41" s="3" t="e">
        <f>AVERAGE(Table11[JVM baked full (size)])</f>
      </c>
      <c r="H41" s="3" t="e">
        <f>AVERAGE(Table11[JVM baked minimal (size)])</f>
      </c>
      <c r="I41" s="3" t="e">
        <f>AVERAGE(Table11[Protobuf.NET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DEVSQ(Table11[Newtonsoft (duration)])</f>
      </c>
      <c r="D46" s="2" t="e">
        <f>DEVSQ(Table11[.NET baked full (duration)])</f>
      </c>
      <c r="E46" s="2" t="e">
        <f>DEVSQ(Table11[.NET baked minimal (duration)])</f>
      </c>
      <c r="F46" s="2" t="e">
        <f>DEVSQ(Table11[Jackson (duration)])</f>
      </c>
      <c r="G46" s="2" t="e">
        <f>DEVSQ(Table11[JVM baked full (duration)])</f>
      </c>
      <c r="H46" s="2" t="e">
        <f>DEVSQ(Table11[JVM baked minimal (duration)])</f>
      </c>
      <c r="I46" s="2" t="e">
        <f>DEVSQ(Table11[Protobuf.NET (duration)])</f>
      </c>
    </row>
    <row r="47" spans="2:11" x14ac:dyDescent="0.25">
      <c r="B47" t="s">
        <v>1</v>
      </c>
      <c r="C47" s="2" t="e">
        <f>DEVSQ(Table12[Newtonsoft (duration)])</f>
      </c>
      <c r="D47" s="2" t="e">
        <f>DEVSQ(Table12[.NET baked full (duration)])</f>
      </c>
      <c r="E47" s="2" t="e">
        <f>DEVSQ(Table12[.NET baked minimal (duration)])</f>
      </c>
      <c r="F47" s="2" t="e">
        <f>DEVSQ(Table12[Jackson (duration)])</f>
      </c>
      <c r="G47" s="2" t="e">
        <f>DEVSQ(Table12[JVM baked full (duration)])</f>
      </c>
      <c r="H47" s="2" t="e">
        <f>DEVSQ(Table12[JVM baked minimal (duration)])</f>
      </c>
      <c r="I47" s="2" t="e">
        <f>DEVSQ(Table12[Protobuf.NET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124</v>
      </c>
      <c r="C52">
        <v>110</v>
      </c>
      <c r="D52">
        <v>10</v>
      </c>
      <c r="E52">
        <v>140</v>
      </c>
      <c r="F52">
        <v>11</v>
      </c>
      <c r="G52">
        <v>74</v>
      </c>
      <c r="H52">
        <v>78</v>
      </c>
      <c r="I52">
        <v>74</v>
      </c>
      <c r="J52">
        <v>0</v>
      </c>
      <c r="K52">
        <v>139</v>
      </c>
      <c r="L52">
        <v>0</v>
      </c>
      <c r="M52">
        <v>53</v>
      </c>
      <c r="N52">
        <v>76</v>
      </c>
      <c r="O52">
        <v>37</v>
      </c>
    </row>
    <row r="53" spans="2:15" x14ac:dyDescent="0.25">
      <c r="B53">
        <v>120</v>
      </c>
      <c r="C53">
        <v>110</v>
      </c>
      <c r="D53">
        <v>11</v>
      </c>
      <c r="E53">
        <v>140</v>
      </c>
      <c r="F53">
        <v>11</v>
      </c>
      <c r="G53">
        <v>74</v>
      </c>
      <c r="H53">
        <v>94</v>
      </c>
      <c r="I53">
        <v>74</v>
      </c>
      <c r="J53">
        <v>15</v>
      </c>
      <c r="K53">
        <v>139</v>
      </c>
      <c r="L53">
        <v>0</v>
      </c>
      <c r="M53">
        <v>52</v>
      </c>
      <c r="N53">
        <v>77</v>
      </c>
      <c r="O53">
        <v>37</v>
      </c>
    </row>
    <row r="54" spans="2:15" x14ac:dyDescent="0.25">
      <c r="B54">
        <v>123</v>
      </c>
      <c r="C54">
        <v>110</v>
      </c>
      <c r="D54">
        <v>11</v>
      </c>
      <c r="E54">
        <v>140</v>
      </c>
      <c r="F54">
        <v>11</v>
      </c>
      <c r="G54">
        <v>74</v>
      </c>
      <c r="H54">
        <v>94</v>
      </c>
      <c r="I54">
        <v>74</v>
      </c>
      <c r="J54">
        <v>0</v>
      </c>
      <c r="K54">
        <v>140</v>
      </c>
      <c r="L54">
        <v>0</v>
      </c>
      <c r="M54">
        <v>54</v>
      </c>
      <c r="N54">
        <v>76</v>
      </c>
      <c r="O54">
        <v>37</v>
      </c>
    </row>
    <row r="55" spans="2:15" x14ac:dyDescent="0.25">
      <c r="B55">
        <v>121</v>
      </c>
      <c r="C55">
        <v>110</v>
      </c>
      <c r="D55">
        <v>11</v>
      </c>
      <c r="E55">
        <v>140</v>
      </c>
      <c r="F55">
        <v>10</v>
      </c>
      <c r="G55">
        <v>74</v>
      </c>
      <c r="H55">
        <v>94</v>
      </c>
      <c r="I55">
        <v>74</v>
      </c>
      <c r="J55">
        <v>0</v>
      </c>
      <c r="K55">
        <v>139</v>
      </c>
      <c r="L55">
        <v>0</v>
      </c>
      <c r="M55">
        <v>53</v>
      </c>
      <c r="N55">
        <v>78</v>
      </c>
      <c r="O55">
        <v>37</v>
      </c>
    </row>
    <row r="56" spans="2:15" x14ac:dyDescent="0.25">
      <c r="B56">
        <v>123</v>
      </c>
      <c r="C56">
        <v>110</v>
      </c>
      <c r="D56">
        <v>10</v>
      </c>
      <c r="E56">
        <v>140</v>
      </c>
      <c r="F56">
        <v>11</v>
      </c>
      <c r="G56">
        <v>74</v>
      </c>
      <c r="H56">
        <v>78</v>
      </c>
      <c r="I56">
        <v>74</v>
      </c>
      <c r="J56">
        <v>16</v>
      </c>
      <c r="K56">
        <v>139</v>
      </c>
      <c r="L56">
        <v>0</v>
      </c>
      <c r="M56">
        <v>52</v>
      </c>
      <c r="N56">
        <v>75</v>
      </c>
      <c r="O56">
        <v>37</v>
      </c>
    </row>
    <row r="57" spans="2:15" x14ac:dyDescent="0.25">
      <c r="B57">
        <v>130</v>
      </c>
      <c r="C57">
        <v>110</v>
      </c>
      <c r="D57">
        <v>10</v>
      </c>
      <c r="E57">
        <v>140</v>
      </c>
      <c r="F57">
        <v>11</v>
      </c>
      <c r="G57">
        <v>74</v>
      </c>
      <c r="H57">
        <v>78</v>
      </c>
      <c r="I57">
        <v>74</v>
      </c>
      <c r="J57">
        <v>15</v>
      </c>
      <c r="K57">
        <v>139</v>
      </c>
      <c r="L57">
        <v>0</v>
      </c>
      <c r="M57">
        <v>52</v>
      </c>
      <c r="N57">
        <v>74</v>
      </c>
      <c r="O57">
        <v>37</v>
      </c>
    </row>
    <row r="58" spans="2:15" x14ac:dyDescent="0.25">
      <c r="B58">
        <v>121</v>
      </c>
      <c r="C58">
        <v>110</v>
      </c>
      <c r="D58">
        <v>11</v>
      </c>
      <c r="E58">
        <v>140</v>
      </c>
      <c r="F58">
        <v>11</v>
      </c>
      <c r="G58">
        <v>74</v>
      </c>
      <c r="H58">
        <v>93</v>
      </c>
      <c r="I58">
        <v>74</v>
      </c>
      <c r="J58">
        <v>0</v>
      </c>
      <c r="K58">
        <v>140</v>
      </c>
      <c r="L58">
        <v>0</v>
      </c>
      <c r="M58">
        <v>52</v>
      </c>
      <c r="N58">
        <v>76</v>
      </c>
      <c r="O58">
        <v>37</v>
      </c>
    </row>
    <row r="59" spans="2:15" x14ac:dyDescent="0.25">
      <c r="B59">
        <v>121</v>
      </c>
      <c r="C59">
        <v>110</v>
      </c>
      <c r="D59">
        <v>10</v>
      </c>
      <c r="E59">
        <v>140</v>
      </c>
      <c r="F59">
        <v>11</v>
      </c>
      <c r="G59">
        <v>74</v>
      </c>
      <c r="H59">
        <v>94</v>
      </c>
      <c r="I59">
        <v>74</v>
      </c>
      <c r="J59">
        <v>0</v>
      </c>
      <c r="K59">
        <v>139</v>
      </c>
      <c r="L59">
        <v>0</v>
      </c>
      <c r="M59">
        <v>53</v>
      </c>
      <c r="N59">
        <v>75</v>
      </c>
      <c r="O59">
        <v>37</v>
      </c>
    </row>
    <row r="60" spans="2:15" x14ac:dyDescent="0.25">
      <c r="B60">
        <v>131</v>
      </c>
      <c r="C60">
        <v>110</v>
      </c>
      <c r="D60">
        <v>11</v>
      </c>
      <c r="E60">
        <v>140</v>
      </c>
      <c r="F60">
        <v>10</v>
      </c>
      <c r="G60">
        <v>74</v>
      </c>
      <c r="H60">
        <v>94</v>
      </c>
      <c r="I60">
        <v>74</v>
      </c>
      <c r="J60">
        <v>0</v>
      </c>
      <c r="K60">
        <v>139</v>
      </c>
      <c r="L60">
        <v>0</v>
      </c>
      <c r="M60">
        <v>52</v>
      </c>
      <c r="N60">
        <v>80</v>
      </c>
      <c r="O60">
        <v>37</v>
      </c>
    </row>
    <row r="61" spans="2:15" x14ac:dyDescent="0.25">
      <c r="B61">
        <v>122</v>
      </c>
      <c r="C61">
        <v>110</v>
      </c>
      <c r="D61">
        <v>11</v>
      </c>
      <c r="E61">
        <v>140</v>
      </c>
      <c r="F61">
        <v>10</v>
      </c>
      <c r="G61">
        <v>74</v>
      </c>
      <c r="H61">
        <v>93</v>
      </c>
      <c r="I61">
        <v>74</v>
      </c>
      <c r="J61">
        <v>0</v>
      </c>
      <c r="K61">
        <v>139</v>
      </c>
      <c r="L61">
        <v>0</v>
      </c>
      <c r="M61">
        <v>52</v>
      </c>
      <c r="N61">
        <v>77</v>
      </c>
      <c r="O61">
        <v>37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184</v>
      </c>
      <c r="C65">
        <v>34</v>
      </c>
      <c r="D65">
        <v>35</v>
      </c>
      <c r="E65">
        <v>171</v>
      </c>
      <c r="F65">
        <v>0</v>
      </c>
      <c r="G65">
        <v>0</v>
      </c>
      <c r="H65">
        <v>90</v>
      </c>
      <c r="I65">
        <v>1</v>
      </c>
      <c r="J65">
        <v>0</v>
      </c>
    </row>
    <row r="66" spans="2:15" x14ac:dyDescent="0.25">
      <c r="B66">
        <v>188</v>
      </c>
      <c r="C66">
        <v>35</v>
      </c>
      <c r="D66">
        <v>35</v>
      </c>
      <c r="E66">
        <v>172</v>
      </c>
      <c r="F66">
        <v>0</v>
      </c>
      <c r="G66">
        <v>16</v>
      </c>
      <c r="H66">
        <v>90</v>
      </c>
      <c r="I66">
        <v>1</v>
      </c>
      <c r="J66">
        <v>0</v>
      </c>
    </row>
    <row r="67" spans="2:15" x14ac:dyDescent="0.25">
      <c r="B67">
        <v>183</v>
      </c>
      <c r="C67">
        <v>34</v>
      </c>
      <c r="D67">
        <v>34</v>
      </c>
      <c r="E67">
        <v>187</v>
      </c>
      <c r="F67">
        <v>16</v>
      </c>
      <c r="G67">
        <v>16</v>
      </c>
      <c r="H67">
        <v>88</v>
      </c>
      <c r="I67">
        <v>1</v>
      </c>
      <c r="J67">
        <v>16</v>
      </c>
    </row>
    <row r="68" spans="2:15" x14ac:dyDescent="0.25">
      <c r="B68">
        <v>183</v>
      </c>
      <c r="C68">
        <v>34</v>
      </c>
      <c r="D68">
        <v>34</v>
      </c>
      <c r="E68">
        <v>172</v>
      </c>
      <c r="F68">
        <v>0</v>
      </c>
      <c r="G68">
        <v>0</v>
      </c>
      <c r="H68">
        <v>91</v>
      </c>
      <c r="I68">
        <v>1</v>
      </c>
      <c r="J68">
        <v>0</v>
      </c>
    </row>
    <row r="69" spans="2:15" x14ac:dyDescent="0.25">
      <c r="B69">
        <v>179</v>
      </c>
      <c r="C69">
        <v>34</v>
      </c>
      <c r="D69">
        <v>34</v>
      </c>
      <c r="E69">
        <v>156</v>
      </c>
      <c r="F69">
        <v>0</v>
      </c>
      <c r="G69">
        <v>0</v>
      </c>
      <c r="H69">
        <v>88</v>
      </c>
      <c r="I69">
        <v>1</v>
      </c>
      <c r="J69">
        <v>0</v>
      </c>
    </row>
    <row r="70" spans="2:15" x14ac:dyDescent="0.25">
      <c r="B70">
        <v>180</v>
      </c>
      <c r="C70">
        <v>34</v>
      </c>
      <c r="D70">
        <v>33</v>
      </c>
      <c r="E70">
        <v>171</v>
      </c>
      <c r="F70">
        <v>0</v>
      </c>
      <c r="G70">
        <v>0</v>
      </c>
      <c r="H70">
        <v>91</v>
      </c>
      <c r="I70">
        <v>1</v>
      </c>
      <c r="J70">
        <v>0</v>
      </c>
    </row>
    <row r="71" spans="2:15" x14ac:dyDescent="0.25">
      <c r="B71">
        <v>196</v>
      </c>
      <c r="C71">
        <v>34</v>
      </c>
      <c r="D71">
        <v>34</v>
      </c>
      <c r="E71">
        <v>187</v>
      </c>
      <c r="F71">
        <v>15</v>
      </c>
      <c r="G71">
        <v>16</v>
      </c>
      <c r="H71">
        <v>92</v>
      </c>
      <c r="I71">
        <v>1</v>
      </c>
      <c r="J71">
        <v>0</v>
      </c>
    </row>
    <row r="72" spans="2:15" x14ac:dyDescent="0.25">
      <c r="B72">
        <v>180</v>
      </c>
      <c r="C72">
        <v>35</v>
      </c>
      <c r="D72">
        <v>35</v>
      </c>
      <c r="E72">
        <v>171</v>
      </c>
      <c r="F72">
        <v>16</v>
      </c>
      <c r="G72">
        <v>15</v>
      </c>
      <c r="H72">
        <v>91</v>
      </c>
      <c r="I72">
        <v>1</v>
      </c>
      <c r="J72">
        <v>0</v>
      </c>
    </row>
    <row r="73" spans="2:15" x14ac:dyDescent="0.25">
      <c r="B73">
        <v>181</v>
      </c>
      <c r="C73">
        <v>35</v>
      </c>
      <c r="D73">
        <v>34</v>
      </c>
      <c r="E73">
        <v>172</v>
      </c>
      <c r="F73">
        <v>16</v>
      </c>
      <c r="G73">
        <v>16</v>
      </c>
      <c r="H73">
        <v>92</v>
      </c>
      <c r="I73">
        <v>1</v>
      </c>
      <c r="J73">
        <v>0</v>
      </c>
    </row>
    <row r="74" spans="2:15" x14ac:dyDescent="0.25">
      <c r="B74">
        <v>181</v>
      </c>
      <c r="C74">
        <v>35</v>
      </c>
      <c r="D74">
        <v>35</v>
      </c>
      <c r="E74">
        <v>172</v>
      </c>
      <c r="F74">
        <v>16</v>
      </c>
      <c r="G74">
        <v>16</v>
      </c>
      <c r="H74">
        <v>95</v>
      </c>
      <c r="I74">
        <v>1</v>
      </c>
      <c r="J74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74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AVERAGE(Table83[Newtonsoft (duration)])</f>
      </c>
      <c r="D38" s="2" t="e">
        <f>AVERAGE(Table83[.NET baked full (duration)])</f>
      </c>
      <c r="E38" s="2" t="e">
        <f>AVERAGE(Table83[.NET baked minimal (duration)])</f>
      </c>
      <c r="F38" s="2" t="e">
        <f>AVERAGE(Table83[Jackson (duration)])</f>
      </c>
      <c r="G38" s="2" t="e">
        <f>AVERAGE(Table83[JVM baked full (duration)])</f>
      </c>
      <c r="H38" s="2" t="e">
        <f>AVERAGE(Table83[JVM baked minimal (duration)])</f>
      </c>
      <c r="I38" s="2" t="e">
        <f>AVERAGE(Table83[Protobuf.NET (duration)])</f>
      </c>
      <c r="J38" s="2" t="e">
        <f>AVERAGE(Table84[.NET (instance only)])</f>
      </c>
      <c r="K38" s="2" t="e">
        <f>AVERAGE(Table84[JVM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AVERAGE(Table84[Newtonsoft (duration)])</f>
      </c>
      <c r="D40" s="2" t="e">
        <f>AVERAGE(Table84[.NET baked full (duration)])</f>
      </c>
      <c r="E40" s="2" t="e">
        <f>AVERAGE(Table84[.NET baked minimal (duration)])</f>
      </c>
      <c r="F40" s="2" t="e">
        <f>AVERAGE(Table84[Jackson (duration)])</f>
      </c>
      <c r="G40" s="2" t="e">
        <f>AVERAGE(Table84[JVM baked full (duration)])</f>
      </c>
      <c r="H40" s="2" t="e">
        <f>AVERAGE(Table84[JVM baked minimal (duration)])</f>
      </c>
      <c r="I40" s="2" t="e">
        <f>AVERAGE(Table84[Protobuf.NET (duration)])</f>
      </c>
      <c r="J40" s="2"/>
      <c r="K40" s="2"/>
    </row>
    <row r="41" spans="2:11" x14ac:dyDescent="0.25">
      <c r="B41" t="s">
        <v>8</v>
      </c>
      <c r="C41" s="3" t="e">
        <f>AVERAGE(Table83[Newtonsoft (size)])</f>
      </c>
      <c r="D41" s="3" t="e">
        <f>AVERAGE(Table83[.NET baked full (size)])</f>
      </c>
      <c r="E41" s="3" t="e">
        <f>AVERAGE(Table83[.NET baked minimal (size)])</f>
      </c>
      <c r="F41" s="3" t="e">
        <f>AVERAGE(Table83[Jackson (size)])</f>
      </c>
      <c r="G41" s="3" t="e">
        <f>AVERAGE(Table83[JVM baked full (size)])</f>
      </c>
      <c r="H41" s="3" t="e">
        <f>AVERAGE(Table83[JVM baked minimal (size)])</f>
      </c>
      <c r="I41" s="3" t="e">
        <f>AVERAGE(Table83[Protobuf.NET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DEVSQ(Table83[Newtonsoft (duration)])</f>
      </c>
      <c r="D46" s="2" t="e">
        <f>DEVSQ(Table83[.NET baked full (duration)])</f>
      </c>
      <c r="E46" s="2" t="e">
        <f>DEVSQ(Table83[.NET baked minimal (duration)])</f>
      </c>
      <c r="F46" s="2" t="e">
        <f>DEVSQ(Table83[Jackson (duration)])</f>
      </c>
      <c r="G46" s="2" t="e">
        <f>DEVSQ(Table83[JVM baked full (duration)])</f>
      </c>
      <c r="H46" s="2" t="e">
        <f>DEVSQ(Table83[JVM baked minimal (duration)])</f>
      </c>
      <c r="I46" s="2" t="e">
        <f>DEVSQ(Table83[Protobuf.NET (duration)])</f>
      </c>
    </row>
    <row r="47" spans="2:11" x14ac:dyDescent="0.25">
      <c r="B47" t="s">
        <v>1</v>
      </c>
      <c r="C47" s="2" t="e">
        <f>DEVSQ(Table84[Newtonsoft (duration)])</f>
      </c>
      <c r="D47" s="2" t="e">
        <f>DEVSQ(Table84[.NET baked full (duration)])</f>
      </c>
      <c r="E47" s="2" t="e">
        <f>DEVSQ(Table84[.NET baked minimal (duration)])</f>
      </c>
      <c r="F47" s="2" t="e">
        <f>DEVSQ(Table84[Jackson (duration)])</f>
      </c>
      <c r="G47" s="2" t="e">
        <f>DEVSQ(Table84[JVM baked full (duration)])</f>
      </c>
      <c r="H47" s="2" t="e">
        <f>DEVSQ(Table84[JVM baked minimal (duration)])</f>
      </c>
      <c r="I47" s="2" t="e">
        <f>DEVSQ(Table84[Protobuf.NET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188198</v>
      </c>
      <c r="C52">
        <v>5593748149</v>
      </c>
      <c r="D52">
        <v>163801</v>
      </c>
      <c r="E52">
        <v>5536279319</v>
      </c>
      <c r="F52">
        <v>166040</v>
      </c>
      <c r="G52">
        <v>5166618059</v>
      </c>
      <c r="H52">
        <v>56644</v>
      </c>
      <c r="I52">
        <v>5034242867</v>
      </c>
      <c r="J52">
        <v>75254</v>
      </c>
      <c r="K52">
        <v>5403806603</v>
      </c>
      <c r="L52">
        <v>73555</v>
      </c>
      <c r="M52">
        <v>5028627626</v>
      </c>
      <c r="N52">
        <v>66624</v>
      </c>
      <c r="O52">
        <v>2337366905</v>
      </c>
    </row>
    <row r="53" spans="2:15" x14ac:dyDescent="0.25">
      <c r="B53">
        <v>189656</v>
      </c>
      <c r="C53">
        <v>5593748149</v>
      </c>
      <c r="D53">
        <v>163665</v>
      </c>
      <c r="E53">
        <v>5536279319</v>
      </c>
      <c r="F53">
        <v>162471</v>
      </c>
      <c r="G53">
        <v>5166618059</v>
      </c>
      <c r="H53">
        <v>55630</v>
      </c>
      <c r="I53">
        <v>5034242867</v>
      </c>
      <c r="J53">
        <v>75504</v>
      </c>
      <c r="K53">
        <v>5403806667</v>
      </c>
      <c r="L53">
        <v>75597</v>
      </c>
      <c r="M53">
        <v>5028627895</v>
      </c>
      <c r="N53">
        <v>66108</v>
      </c>
      <c r="O53">
        <v>2337366905</v>
      </c>
    </row>
    <row r="54" spans="2:15" x14ac:dyDescent="0.25">
      <c r="B54">
        <v>189807</v>
      </c>
      <c r="C54">
        <v>5593748149</v>
      </c>
      <c r="D54">
        <v>162907</v>
      </c>
      <c r="E54">
        <v>5536279319</v>
      </c>
      <c r="F54">
        <v>161422</v>
      </c>
      <c r="G54">
        <v>5166618059</v>
      </c>
      <c r="H54">
        <v>56752</v>
      </c>
      <c r="I54">
        <v>5034242856</v>
      </c>
      <c r="J54">
        <v>76721</v>
      </c>
      <c r="K54">
        <v>5403806720</v>
      </c>
      <c r="L54">
        <v>73555</v>
      </c>
      <c r="M54">
        <v>5028627496</v>
      </c>
      <c r="N54">
        <v>66287</v>
      </c>
      <c r="O54">
        <v>2337366905</v>
      </c>
    </row>
    <row r="55" spans="2:15" x14ac:dyDescent="0.25">
      <c r="B55">
        <v>189245</v>
      </c>
      <c r="C55">
        <v>5593748149</v>
      </c>
      <c r="D55">
        <v>162439</v>
      </c>
      <c r="E55">
        <v>5536279319</v>
      </c>
      <c r="F55">
        <v>164735</v>
      </c>
      <c r="G55">
        <v>5166618059</v>
      </c>
      <c r="H55">
        <v>54866</v>
      </c>
      <c r="I55">
        <v>5034242851</v>
      </c>
      <c r="J55">
        <v>75676</v>
      </c>
      <c r="K55">
        <v>5403806628</v>
      </c>
      <c r="L55">
        <v>72556</v>
      </c>
      <c r="M55">
        <v>5028627625</v>
      </c>
      <c r="N55">
        <v>66072</v>
      </c>
      <c r="O55">
        <v>2337366905</v>
      </c>
    </row>
    <row r="56" spans="2:15" x14ac:dyDescent="0.25">
      <c r="B56">
        <v>188189</v>
      </c>
      <c r="C56">
        <v>5593748149</v>
      </c>
      <c r="D56">
        <v>162874</v>
      </c>
      <c r="E56">
        <v>5536279319</v>
      </c>
      <c r="F56">
        <v>162158</v>
      </c>
      <c r="G56">
        <v>5166618059</v>
      </c>
      <c r="H56">
        <v>55879</v>
      </c>
      <c r="I56">
        <v>5034242884</v>
      </c>
      <c r="J56">
        <v>75567</v>
      </c>
      <c r="K56">
        <v>5403806692</v>
      </c>
      <c r="L56">
        <v>74630</v>
      </c>
      <c r="M56">
        <v>5028627625</v>
      </c>
      <c r="N56">
        <v>65871</v>
      </c>
      <c r="O56">
        <v>2337366905</v>
      </c>
    </row>
    <row r="57" spans="2:15" x14ac:dyDescent="0.25">
      <c r="B57">
        <v>194142</v>
      </c>
      <c r="C57">
        <v>5593748149</v>
      </c>
      <c r="D57">
        <v>161193</v>
      </c>
      <c r="E57">
        <v>5503444319</v>
      </c>
      <c r="F57">
        <v>161409</v>
      </c>
      <c r="G57">
        <v>5166618059</v>
      </c>
      <c r="H57">
        <v>55692</v>
      </c>
      <c r="I57">
        <v>5034242858</v>
      </c>
      <c r="J57">
        <v>75130</v>
      </c>
      <c r="K57">
        <v>5403806700</v>
      </c>
      <c r="L57">
        <v>73149</v>
      </c>
      <c r="M57">
        <v>5028627670</v>
      </c>
      <c r="N57">
        <v>66188</v>
      </c>
      <c r="O57">
        <v>2337366905</v>
      </c>
    </row>
    <row r="58" spans="2:15" x14ac:dyDescent="0.25">
      <c r="B58">
        <v>190230</v>
      </c>
      <c r="C58">
        <v>5593748149</v>
      </c>
      <c r="D58">
        <v>164401</v>
      </c>
      <c r="E58">
        <v>5536279319</v>
      </c>
      <c r="F58">
        <v>161084</v>
      </c>
      <c r="G58">
        <v>5166618059</v>
      </c>
      <c r="H58">
        <v>54975</v>
      </c>
      <c r="I58">
        <v>5034243278</v>
      </c>
      <c r="J58">
        <v>74880</v>
      </c>
      <c r="K58">
        <v>5403806728</v>
      </c>
      <c r="L58">
        <v>73087</v>
      </c>
      <c r="M58">
        <v>5028627638</v>
      </c>
      <c r="N58">
        <v>65788</v>
      </c>
      <c r="O58">
        <v>2337366905</v>
      </c>
    </row>
    <row r="59" spans="2:15" x14ac:dyDescent="0.25">
      <c r="B59">
        <v>187809</v>
      </c>
      <c r="C59">
        <v>5593748149</v>
      </c>
      <c r="D59">
        <v>161475</v>
      </c>
      <c r="E59">
        <v>5503444319</v>
      </c>
      <c r="F59">
        <v>161944</v>
      </c>
      <c r="G59">
        <v>5166618059</v>
      </c>
      <c r="H59">
        <v>56035</v>
      </c>
      <c r="I59">
        <v>5034242860</v>
      </c>
      <c r="J59">
        <v>74662</v>
      </c>
      <c r="K59">
        <v>5403806705</v>
      </c>
      <c r="L59">
        <v>74459</v>
      </c>
      <c r="M59">
        <v>5028627593</v>
      </c>
      <c r="N59">
        <v>65698</v>
      </c>
      <c r="O59">
        <v>2337366905</v>
      </c>
    </row>
    <row r="60" spans="2:15" x14ac:dyDescent="0.25">
      <c r="B60">
        <v>188041</v>
      </c>
      <c r="C60">
        <v>5593748149</v>
      </c>
      <c r="D60">
        <v>162197</v>
      </c>
      <c r="E60">
        <v>5536279319</v>
      </c>
      <c r="F60">
        <v>160788</v>
      </c>
      <c r="G60">
        <v>5166618059</v>
      </c>
      <c r="H60">
        <v>55489</v>
      </c>
      <c r="I60">
        <v>5034242852</v>
      </c>
      <c r="J60">
        <v>75207</v>
      </c>
      <c r="K60">
        <v>5403806823</v>
      </c>
      <c r="L60">
        <v>73070</v>
      </c>
      <c r="M60">
        <v>5028627619</v>
      </c>
      <c r="N60">
        <v>65511</v>
      </c>
      <c r="O60">
        <v>2337366905</v>
      </c>
    </row>
    <row r="61" spans="2:15" x14ac:dyDescent="0.25">
      <c r="B61">
        <v>186784</v>
      </c>
      <c r="C61">
        <v>5593748149</v>
      </c>
      <c r="D61">
        <v>161352</v>
      </c>
      <c r="E61">
        <v>5536279319</v>
      </c>
      <c r="F61">
        <v>161683</v>
      </c>
      <c r="G61">
        <v>5166618059</v>
      </c>
      <c r="H61">
        <v>56207</v>
      </c>
      <c r="I61">
        <v>5034242856</v>
      </c>
      <c r="J61">
        <v>78187</v>
      </c>
      <c r="K61">
        <v>5403807065</v>
      </c>
      <c r="L61">
        <v>75145</v>
      </c>
      <c r="M61">
        <v>5028627624</v>
      </c>
      <c r="N61">
        <v>66122</v>
      </c>
      <c r="O61">
        <v>2337366905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428008</v>
      </c>
      <c r="C65">
        <v>311637</v>
      </c>
      <c r="D65">
        <v>308453</v>
      </c>
      <c r="E65">
        <v>172458</v>
      </c>
      <c r="F65">
        <v>182816</v>
      </c>
      <c r="G65">
        <v>183362</v>
      </c>
      <c r="H65">
        <v>148241</v>
      </c>
      <c r="I65">
        <v>42045</v>
      </c>
      <c r="J65">
        <v>9516</v>
      </c>
    </row>
    <row r="66" spans="2:15" x14ac:dyDescent="0.25">
      <c r="B66">
        <v>428987</v>
      </c>
      <c r="C66">
        <v>306289</v>
      </c>
      <c r="D66">
        <v>307335</v>
      </c>
      <c r="E66">
        <v>171928</v>
      </c>
      <c r="F66">
        <v>189541</v>
      </c>
      <c r="G66">
        <v>185406</v>
      </c>
      <c r="H66">
        <v>149251</v>
      </c>
      <c r="I66">
        <v>41907</v>
      </c>
      <c r="J66">
        <v>9640</v>
      </c>
    </row>
    <row r="67" spans="2:15" x14ac:dyDescent="0.25">
      <c r="B67">
        <v>423159</v>
      </c>
      <c r="C67">
        <v>305271</v>
      </c>
      <c r="D67">
        <v>301221</v>
      </c>
      <c r="E67">
        <v>168808</v>
      </c>
      <c r="F67">
        <v>183035</v>
      </c>
      <c r="G67">
        <v>178761</v>
      </c>
      <c r="H67">
        <v>148666</v>
      </c>
      <c r="I67">
        <v>42389</v>
      </c>
      <c r="J67">
        <v>9594</v>
      </c>
    </row>
    <row r="68" spans="2:15" x14ac:dyDescent="0.25">
      <c r="B68">
        <v>432662</v>
      </c>
      <c r="C68">
        <v>304873</v>
      </c>
      <c r="D68">
        <v>303743</v>
      </c>
      <c r="E68">
        <v>170353</v>
      </c>
      <c r="F68">
        <v>185905</v>
      </c>
      <c r="G68">
        <v>181725</v>
      </c>
      <c r="H68">
        <v>147553</v>
      </c>
      <c r="I68">
        <v>42311</v>
      </c>
      <c r="J68">
        <v>9516</v>
      </c>
    </row>
    <row r="69" spans="2:15" x14ac:dyDescent="0.25">
      <c r="B69">
        <v>427444</v>
      </c>
      <c r="C69">
        <v>304410</v>
      </c>
      <c r="D69">
        <v>299036</v>
      </c>
      <c r="E69">
        <v>178089</v>
      </c>
      <c r="F69">
        <v>190835</v>
      </c>
      <c r="G69">
        <v>177747</v>
      </c>
      <c r="H69">
        <v>147236</v>
      </c>
      <c r="I69">
        <v>42013</v>
      </c>
      <c r="J69">
        <v>9532</v>
      </c>
    </row>
    <row r="70" spans="2:15" x14ac:dyDescent="0.25">
      <c r="B70">
        <v>427427</v>
      </c>
      <c r="C70">
        <v>306323</v>
      </c>
      <c r="D70">
        <v>301169</v>
      </c>
      <c r="E70">
        <v>171507</v>
      </c>
      <c r="F70">
        <v>184345</v>
      </c>
      <c r="G70">
        <v>179759</v>
      </c>
      <c r="H70">
        <v>147986</v>
      </c>
      <c r="I70">
        <v>41721</v>
      </c>
      <c r="J70">
        <v>9484</v>
      </c>
    </row>
    <row r="71" spans="2:15" x14ac:dyDescent="0.25">
      <c r="B71">
        <v>452767</v>
      </c>
      <c r="C71">
        <v>310879</v>
      </c>
      <c r="D71">
        <v>302783</v>
      </c>
      <c r="E71">
        <v>175828</v>
      </c>
      <c r="F71">
        <v>187387</v>
      </c>
      <c r="G71">
        <v>181772</v>
      </c>
      <c r="H71">
        <v>148248</v>
      </c>
      <c r="I71">
        <v>41989</v>
      </c>
      <c r="J71">
        <v>9532</v>
      </c>
    </row>
    <row r="72" spans="2:15" x14ac:dyDescent="0.25">
      <c r="B72">
        <v>460307</v>
      </c>
      <c r="C72">
        <v>313582</v>
      </c>
      <c r="D72">
        <v>307060</v>
      </c>
      <c r="E72">
        <v>177685</v>
      </c>
      <c r="F72">
        <v>188167</v>
      </c>
      <c r="G72">
        <v>185516</v>
      </c>
      <c r="H72">
        <v>150319</v>
      </c>
      <c r="I72">
        <v>42522</v>
      </c>
      <c r="J72">
        <v>9594</v>
      </c>
    </row>
    <row r="73" spans="2:15" x14ac:dyDescent="0.25">
      <c r="B73">
        <v>433960</v>
      </c>
      <c r="C73">
        <v>311957</v>
      </c>
      <c r="D73">
        <v>306318</v>
      </c>
      <c r="E73">
        <v>176015</v>
      </c>
      <c r="F73">
        <v>193721</v>
      </c>
      <c r="G73">
        <v>186732</v>
      </c>
      <c r="H73">
        <v>152123</v>
      </c>
      <c r="I73">
        <v>42509</v>
      </c>
      <c r="J73">
        <v>9703</v>
      </c>
    </row>
    <row r="74" spans="2:15" x14ac:dyDescent="0.25">
      <c r="B74">
        <v>439133</v>
      </c>
      <c r="C74">
        <v>312783</v>
      </c>
      <c r="D74">
        <v>307988</v>
      </c>
      <c r="E74">
        <v>175874</v>
      </c>
      <c r="F74">
        <v>190928</v>
      </c>
      <c r="G74">
        <v>188370</v>
      </c>
      <c r="H74">
        <v>152528</v>
      </c>
      <c r="I74">
        <v>43286</v>
      </c>
      <c r="J74">
        <v>10124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57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AVERAGE(Table15[Newtonsoft (duration)])</f>
      </c>
      <c r="D38" s="2" t="e">
        <f>AVERAGE(Table15[.NET baked full (duration)])</f>
      </c>
      <c r="E38" s="2" t="e">
        <f>AVERAGE(Table15[.NET baked minimal (duration)])</f>
      </c>
      <c r="F38" s="2" t="e">
        <f>AVERAGE(Table15[Jackson (duration)])</f>
      </c>
      <c r="G38" s="2" t="e">
        <f>AVERAGE(Table15[JVM baked full (duration)])</f>
      </c>
      <c r="H38" s="2" t="e">
        <f>AVERAGE(Table15[JVM baked minimal (duration)])</f>
      </c>
      <c r="I38" s="2" t="e">
        <f>AVERAGE(Table15[Protobuf.NET (duration)])</f>
      </c>
      <c r="J38" s="2" t="e">
        <f>AVERAGE(Table16[.NET (instance only)])</f>
      </c>
      <c r="K38" s="2" t="e">
        <f>AVERAGE(Table16[JVM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AVERAGE(Table16[Newtonsoft (duration)])</f>
      </c>
      <c r="D40" s="2" t="e">
        <f>AVERAGE(Table16[.NET baked full (duration)])</f>
      </c>
      <c r="E40" s="2" t="e">
        <f>AVERAGE(Table16[.NET baked minimal (duration)])</f>
      </c>
      <c r="F40" s="2" t="e">
        <f>AVERAGE(Table16[Jackson (duration)])</f>
      </c>
      <c r="G40" s="2" t="e">
        <f>AVERAGE(Table16[JVM baked full (duration)])</f>
      </c>
      <c r="H40" s="2" t="e">
        <f>AVERAGE(Table16[JVM baked minimal (duration)])</f>
      </c>
      <c r="I40" s="2" t="e">
        <f>AVERAGE(Table16[Protobuf.NET (duration)])</f>
      </c>
      <c r="J40" s="2"/>
      <c r="K40" s="2"/>
    </row>
    <row r="41" spans="2:11" x14ac:dyDescent="0.25">
      <c r="B41" t="s">
        <v>8</v>
      </c>
      <c r="C41" s="3" t="e">
        <f>AVERAGE(Table15[Newtonsoft (size)])</f>
      </c>
      <c r="D41" s="3" t="e">
        <f>AVERAGE(Table15[.NET baked full (size)])</f>
      </c>
      <c r="E41" s="3" t="e">
        <f>AVERAGE(Table15[.NET baked minimal (size)])</f>
      </c>
      <c r="F41" s="3" t="e">
        <f>AVERAGE(Table15[Jackson (size)])</f>
      </c>
      <c r="G41" s="3" t="e">
        <f>AVERAGE(Table15[JVM baked full (size)])</f>
      </c>
      <c r="H41" s="3" t="e">
        <f>AVERAGE(Table15[JVM baked minimal (size)])</f>
      </c>
      <c r="I41" s="3" t="e">
        <f>AVERAGE(Table15[Protobuf.NET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DEVSQ(Table15[Newtonsoft (duration)])</f>
      </c>
      <c r="D46" s="2" t="e">
        <f>DEVSQ(Table15[.NET baked full (duration)])</f>
      </c>
      <c r="E46" s="2" t="e">
        <f>DEVSQ(Table15[.NET baked minimal (duration)])</f>
      </c>
      <c r="F46" s="2" t="e">
        <f>DEVSQ(Table15[Jackson (duration)])</f>
      </c>
      <c r="G46" s="2" t="e">
        <f>DEVSQ(Table15[JVM baked full (duration)])</f>
      </c>
      <c r="H46" s="2" t="e">
        <f>DEVSQ(Table15[JVM baked minimal (duration)])</f>
      </c>
      <c r="I46" s="2" t="e">
        <f>DEVSQ(Table15[Protobuf.NET (duration)])</f>
      </c>
    </row>
    <row r="47" spans="2:11" x14ac:dyDescent="0.25">
      <c r="B47" t="s">
        <v>1</v>
      </c>
      <c r="C47" s="2" t="e">
        <f>DEVSQ(Table16[Newtonsoft (duration)])</f>
      </c>
      <c r="D47" s="2" t="e">
        <f>DEVSQ(Table16[.NET baked full (duration)])</f>
      </c>
      <c r="E47" s="2" t="e">
        <f>DEVSQ(Table16[.NET baked minimal (duration)])</f>
      </c>
      <c r="F47" s="2" t="e">
        <f>DEVSQ(Table16[Jackson (duration)])</f>
      </c>
      <c r="G47" s="2" t="e">
        <f>DEVSQ(Table16[JVM baked full (duration)])</f>
      </c>
      <c r="H47" s="2" t="e">
        <f>DEVSQ(Table16[JVM baked minimal (duration)])</f>
      </c>
      <c r="I47" s="2" t="e">
        <f>DEVSQ(Table16[Protobuf.NET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232</v>
      </c>
      <c r="C52">
        <v>4777768</v>
      </c>
      <c r="D52">
        <v>74</v>
      </c>
      <c r="E52">
        <v>4777780</v>
      </c>
      <c r="F52">
        <v>70</v>
      </c>
      <c r="G52">
        <v>4777768</v>
      </c>
      <c r="H52">
        <v>546</v>
      </c>
      <c r="I52">
        <v>4777780</v>
      </c>
      <c r="J52">
        <v>187</v>
      </c>
      <c r="K52">
        <v>4777780</v>
      </c>
      <c r="L52">
        <v>187</v>
      </c>
      <c r="M52">
        <v>4777768</v>
      </c>
      <c r="N52">
        <v>107</v>
      </c>
      <c r="O52">
        <v>2372376</v>
      </c>
    </row>
    <row r="53" spans="2:15" x14ac:dyDescent="0.25">
      <c r="B53">
        <v>238</v>
      </c>
      <c r="C53">
        <v>4777768</v>
      </c>
      <c r="D53">
        <v>71</v>
      </c>
      <c r="E53">
        <v>4777780</v>
      </c>
      <c r="F53">
        <v>70</v>
      </c>
      <c r="G53">
        <v>4777768</v>
      </c>
      <c r="H53">
        <v>530</v>
      </c>
      <c r="I53">
        <v>4777780</v>
      </c>
      <c r="J53">
        <v>172</v>
      </c>
      <c r="K53">
        <v>4777780</v>
      </c>
      <c r="L53">
        <v>172</v>
      </c>
      <c r="M53">
        <v>4777768</v>
      </c>
      <c r="N53">
        <v>113</v>
      </c>
      <c r="O53">
        <v>2372376</v>
      </c>
    </row>
    <row r="54" spans="2:15" x14ac:dyDescent="0.25">
      <c r="B54">
        <v>233</v>
      </c>
      <c r="C54">
        <v>4777768</v>
      </c>
      <c r="D54">
        <v>70</v>
      </c>
      <c r="E54">
        <v>4777780</v>
      </c>
      <c r="F54">
        <v>71</v>
      </c>
      <c r="G54">
        <v>4777768</v>
      </c>
      <c r="H54">
        <v>531</v>
      </c>
      <c r="I54">
        <v>4777780</v>
      </c>
      <c r="J54">
        <v>187</v>
      </c>
      <c r="K54">
        <v>4777780</v>
      </c>
      <c r="L54">
        <v>187</v>
      </c>
      <c r="M54">
        <v>4777768</v>
      </c>
      <c r="N54">
        <v>113</v>
      </c>
      <c r="O54">
        <v>2372376</v>
      </c>
    </row>
    <row r="55" spans="2:15" x14ac:dyDescent="0.25">
      <c r="B55">
        <v>237</v>
      </c>
      <c r="C55">
        <v>4777768</v>
      </c>
      <c r="D55">
        <v>69</v>
      </c>
      <c r="E55">
        <v>4777780</v>
      </c>
      <c r="F55">
        <v>72</v>
      </c>
      <c r="G55">
        <v>4777768</v>
      </c>
      <c r="H55">
        <v>546</v>
      </c>
      <c r="I55">
        <v>4777780</v>
      </c>
      <c r="J55">
        <v>172</v>
      </c>
      <c r="K55">
        <v>4777780</v>
      </c>
      <c r="L55">
        <v>172</v>
      </c>
      <c r="M55">
        <v>4777768</v>
      </c>
      <c r="N55">
        <v>113</v>
      </c>
      <c r="O55">
        <v>2372376</v>
      </c>
    </row>
    <row r="56" spans="2:15" x14ac:dyDescent="0.25">
      <c r="B56">
        <v>238</v>
      </c>
      <c r="C56">
        <v>4777768</v>
      </c>
      <c r="D56">
        <v>71</v>
      </c>
      <c r="E56">
        <v>4777780</v>
      </c>
      <c r="F56">
        <v>72</v>
      </c>
      <c r="G56">
        <v>4777768</v>
      </c>
      <c r="H56">
        <v>546</v>
      </c>
      <c r="I56">
        <v>4777780</v>
      </c>
      <c r="J56">
        <v>187</v>
      </c>
      <c r="K56">
        <v>4777780</v>
      </c>
      <c r="L56">
        <v>203</v>
      </c>
      <c r="M56">
        <v>4777768</v>
      </c>
      <c r="N56">
        <v>113</v>
      </c>
      <c r="O56">
        <v>2372376</v>
      </c>
    </row>
    <row r="57" spans="2:15" x14ac:dyDescent="0.25">
      <c r="B57">
        <v>237</v>
      </c>
      <c r="C57">
        <v>4777768</v>
      </c>
      <c r="D57">
        <v>72</v>
      </c>
      <c r="E57">
        <v>4777780</v>
      </c>
      <c r="F57">
        <v>70</v>
      </c>
      <c r="G57">
        <v>4777768</v>
      </c>
      <c r="H57">
        <v>546</v>
      </c>
      <c r="I57">
        <v>4777780</v>
      </c>
      <c r="J57">
        <v>202</v>
      </c>
      <c r="K57">
        <v>4777780</v>
      </c>
      <c r="L57">
        <v>187</v>
      </c>
      <c r="M57">
        <v>4777768</v>
      </c>
      <c r="N57">
        <v>116</v>
      </c>
      <c r="O57">
        <v>2372376</v>
      </c>
    </row>
    <row r="58" spans="2:15" x14ac:dyDescent="0.25">
      <c r="B58">
        <v>235</v>
      </c>
      <c r="C58">
        <v>4777768</v>
      </c>
      <c r="D58">
        <v>77</v>
      </c>
      <c r="E58">
        <v>4777780</v>
      </c>
      <c r="F58">
        <v>69</v>
      </c>
      <c r="G58">
        <v>4777768</v>
      </c>
      <c r="H58">
        <v>531</v>
      </c>
      <c r="I58">
        <v>4777780</v>
      </c>
      <c r="J58">
        <v>188</v>
      </c>
      <c r="K58">
        <v>4777780</v>
      </c>
      <c r="L58">
        <v>172</v>
      </c>
      <c r="M58">
        <v>4777768</v>
      </c>
      <c r="N58">
        <v>112</v>
      </c>
      <c r="O58">
        <v>2372376</v>
      </c>
    </row>
    <row r="59" spans="2:15" x14ac:dyDescent="0.25">
      <c r="B59">
        <v>232</v>
      </c>
      <c r="C59">
        <v>4777768</v>
      </c>
      <c r="D59">
        <v>75</v>
      </c>
      <c r="E59">
        <v>4777780</v>
      </c>
      <c r="F59">
        <v>73</v>
      </c>
      <c r="G59">
        <v>4777768</v>
      </c>
      <c r="H59">
        <v>561</v>
      </c>
      <c r="I59">
        <v>4777780</v>
      </c>
      <c r="J59">
        <v>187</v>
      </c>
      <c r="K59">
        <v>4777780</v>
      </c>
      <c r="L59">
        <v>188</v>
      </c>
      <c r="M59">
        <v>4777768</v>
      </c>
      <c r="N59">
        <v>110</v>
      </c>
      <c r="O59">
        <v>2372376</v>
      </c>
    </row>
    <row r="60" spans="2:15" x14ac:dyDescent="0.25">
      <c r="B60">
        <v>233</v>
      </c>
      <c r="C60">
        <v>4777768</v>
      </c>
      <c r="D60">
        <v>70</v>
      </c>
      <c r="E60">
        <v>4777780</v>
      </c>
      <c r="F60">
        <v>70</v>
      </c>
      <c r="G60">
        <v>4777768</v>
      </c>
      <c r="H60">
        <v>546</v>
      </c>
      <c r="I60">
        <v>4777780</v>
      </c>
      <c r="J60">
        <v>172</v>
      </c>
      <c r="K60">
        <v>4777780</v>
      </c>
      <c r="L60">
        <v>202</v>
      </c>
      <c r="M60">
        <v>4777768</v>
      </c>
      <c r="N60">
        <v>114</v>
      </c>
      <c r="O60">
        <v>2372376</v>
      </c>
    </row>
    <row r="61" spans="2:15" x14ac:dyDescent="0.25">
      <c r="B61">
        <v>241</v>
      </c>
      <c r="C61">
        <v>4777768</v>
      </c>
      <c r="D61">
        <v>73</v>
      </c>
      <c r="E61">
        <v>4777780</v>
      </c>
      <c r="F61">
        <v>72</v>
      </c>
      <c r="G61">
        <v>4777768</v>
      </c>
      <c r="H61">
        <v>546</v>
      </c>
      <c r="I61">
        <v>4777780</v>
      </c>
      <c r="J61">
        <v>188</v>
      </c>
      <c r="K61">
        <v>4777780</v>
      </c>
      <c r="L61">
        <v>187</v>
      </c>
      <c r="M61">
        <v>4777768</v>
      </c>
      <c r="N61">
        <v>114</v>
      </c>
      <c r="O61">
        <v>2372376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765</v>
      </c>
      <c r="C65">
        <v>158</v>
      </c>
      <c r="D65">
        <v>194</v>
      </c>
      <c r="E65">
        <v>1076</v>
      </c>
      <c r="F65">
        <v>281</v>
      </c>
      <c r="G65">
        <v>297</v>
      </c>
      <c r="H65">
        <v>199</v>
      </c>
      <c r="I65">
        <v>24</v>
      </c>
      <c r="J65">
        <v>32</v>
      </c>
    </row>
    <row r="66" spans="2:15" x14ac:dyDescent="0.25">
      <c r="B66">
        <v>716</v>
      </c>
      <c r="C66">
        <v>151</v>
      </c>
      <c r="D66">
        <v>208</v>
      </c>
      <c r="E66">
        <v>1061</v>
      </c>
      <c r="F66">
        <v>281</v>
      </c>
      <c r="G66">
        <v>297</v>
      </c>
      <c r="H66">
        <v>189</v>
      </c>
      <c r="I66">
        <v>22</v>
      </c>
      <c r="J66">
        <v>31</v>
      </c>
    </row>
    <row r="67" spans="2:15" x14ac:dyDescent="0.25">
      <c r="B67">
        <v>750</v>
      </c>
      <c r="C67">
        <v>161</v>
      </c>
      <c r="D67">
        <v>205</v>
      </c>
      <c r="E67">
        <v>1077</v>
      </c>
      <c r="F67">
        <v>281</v>
      </c>
      <c r="G67">
        <v>297</v>
      </c>
      <c r="H67">
        <v>194</v>
      </c>
      <c r="I67">
        <v>24</v>
      </c>
      <c r="J67">
        <v>31</v>
      </c>
    </row>
    <row r="68" spans="2:15" x14ac:dyDescent="0.25">
      <c r="B68">
        <v>741</v>
      </c>
      <c r="C68">
        <v>167</v>
      </c>
      <c r="D68">
        <v>204</v>
      </c>
      <c r="E68">
        <v>1061</v>
      </c>
      <c r="F68">
        <v>296</v>
      </c>
      <c r="G68">
        <v>281</v>
      </c>
      <c r="H68">
        <v>197</v>
      </c>
      <c r="I68">
        <v>22</v>
      </c>
      <c r="J68">
        <v>47</v>
      </c>
    </row>
    <row r="69" spans="2:15" x14ac:dyDescent="0.25">
      <c r="B69">
        <v>805</v>
      </c>
      <c r="C69">
        <v>157</v>
      </c>
      <c r="D69">
        <v>207</v>
      </c>
      <c r="E69">
        <v>1092</v>
      </c>
      <c r="F69">
        <v>296</v>
      </c>
      <c r="G69">
        <v>296</v>
      </c>
      <c r="H69">
        <v>194</v>
      </c>
      <c r="I69">
        <v>23</v>
      </c>
      <c r="J69">
        <v>31</v>
      </c>
    </row>
    <row r="70" spans="2:15" x14ac:dyDescent="0.25">
      <c r="B70">
        <v>772</v>
      </c>
      <c r="C70">
        <v>156</v>
      </c>
      <c r="D70">
        <v>197</v>
      </c>
      <c r="E70">
        <v>1076</v>
      </c>
      <c r="F70">
        <v>280</v>
      </c>
      <c r="G70">
        <v>281</v>
      </c>
      <c r="H70">
        <v>189</v>
      </c>
      <c r="I70">
        <v>23</v>
      </c>
      <c r="J70">
        <v>47</v>
      </c>
    </row>
    <row r="71" spans="2:15" x14ac:dyDescent="0.25">
      <c r="B71">
        <v>673</v>
      </c>
      <c r="C71">
        <v>158</v>
      </c>
      <c r="D71">
        <v>195</v>
      </c>
      <c r="E71">
        <v>1076</v>
      </c>
      <c r="F71">
        <v>280</v>
      </c>
      <c r="G71">
        <v>281</v>
      </c>
      <c r="H71">
        <v>186</v>
      </c>
      <c r="I71">
        <v>24</v>
      </c>
      <c r="J71">
        <v>47</v>
      </c>
    </row>
    <row r="72" spans="2:15" x14ac:dyDescent="0.25">
      <c r="B72">
        <v>692</v>
      </c>
      <c r="C72">
        <v>160</v>
      </c>
      <c r="D72">
        <v>197</v>
      </c>
      <c r="E72">
        <v>1045</v>
      </c>
      <c r="F72">
        <v>296</v>
      </c>
      <c r="G72">
        <v>281</v>
      </c>
      <c r="H72">
        <v>199</v>
      </c>
      <c r="I72">
        <v>22</v>
      </c>
      <c r="J72">
        <v>31</v>
      </c>
    </row>
    <row r="73" spans="2:15" x14ac:dyDescent="0.25">
      <c r="B73">
        <v>750</v>
      </c>
      <c r="C73">
        <v>155</v>
      </c>
      <c r="D73">
        <v>196</v>
      </c>
      <c r="E73">
        <v>1076</v>
      </c>
      <c r="F73">
        <v>296</v>
      </c>
      <c r="G73">
        <v>296</v>
      </c>
      <c r="H73">
        <v>191</v>
      </c>
      <c r="I73">
        <v>22</v>
      </c>
      <c r="J73">
        <v>47</v>
      </c>
    </row>
    <row r="74" spans="2:15" x14ac:dyDescent="0.25">
      <c r="B74">
        <v>694</v>
      </c>
      <c r="C74">
        <v>157</v>
      </c>
      <c r="D74">
        <v>201</v>
      </c>
      <c r="E74">
        <v>1077</v>
      </c>
      <c r="F74">
        <v>296</v>
      </c>
      <c r="G74">
        <v>296</v>
      </c>
      <c r="H74">
        <v>187</v>
      </c>
      <c r="I74">
        <v>22</v>
      </c>
      <c r="J74">
        <v>47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58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AVERAGE(Table19[Newtonsoft (duration)])</f>
      </c>
      <c r="D38" s="2" t="e">
        <f>AVERAGE(Table19[.NET baked full (duration)])</f>
      </c>
      <c r="E38" s="2" t="e">
        <f>AVERAGE(Table19[.NET baked minimal (duration)])</f>
      </c>
      <c r="F38" s="2" t="e">
        <f>AVERAGE(Table19[Jackson (duration)])</f>
      </c>
      <c r="G38" s="2" t="e">
        <f>AVERAGE(Table19[JVM baked full (duration)])</f>
      </c>
      <c r="H38" s="2" t="e">
        <f>AVERAGE(Table19[JVM baked minimal (duration)])</f>
      </c>
      <c r="I38" s="2" t="e">
        <f>AVERAGE(Table19[Protobuf.NET (duration)])</f>
      </c>
      <c r="J38" s="2" t="e">
        <f>AVERAGE(Table20[.NET (instance only)])</f>
      </c>
      <c r="K38" s="2" t="e">
        <f>AVERAGE(Table20[JVM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AVERAGE(Table20[Newtonsoft (duration)])</f>
      </c>
      <c r="D40" s="2" t="e">
        <f>AVERAGE(Table20[.NET baked full (duration)])</f>
      </c>
      <c r="E40" s="2" t="e">
        <f>AVERAGE(Table20[.NET baked minimal (duration)])</f>
      </c>
      <c r="F40" s="2" t="e">
        <f>AVERAGE(Table20[Jackson (duration)])</f>
      </c>
      <c r="G40" s="2" t="e">
        <f>AVERAGE(Table20[JVM baked full (duration)])</f>
      </c>
      <c r="H40" s="2" t="e">
        <f>AVERAGE(Table20[JVM baked minimal (duration)])</f>
      </c>
      <c r="I40" s="2" t="e">
        <f>AVERAGE(Table20[Protobuf.NET (duration)])</f>
      </c>
      <c r="J40" s="2"/>
      <c r="K40" s="2"/>
    </row>
    <row r="41" spans="2:11" x14ac:dyDescent="0.25">
      <c r="B41" t="s">
        <v>8</v>
      </c>
      <c r="C41" s="3" t="e">
        <f>AVERAGE(Table19[Newtonsoft (size)])</f>
      </c>
      <c r="D41" s="3" t="e">
        <f>AVERAGE(Table19[.NET baked full (size)])</f>
      </c>
      <c r="E41" s="3" t="e">
        <f>AVERAGE(Table19[.NET baked minimal (size)])</f>
      </c>
      <c r="F41" s="3" t="e">
        <f>AVERAGE(Table19[Jackson (size)])</f>
      </c>
      <c r="G41" s="3" t="e">
        <f>AVERAGE(Table19[JVM baked full (size)])</f>
      </c>
      <c r="H41" s="3" t="e">
        <f>AVERAGE(Table19[JVM baked minimal (size)])</f>
      </c>
      <c r="I41" s="3" t="e">
        <f>AVERAGE(Table19[Protobuf.NET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DEVSQ(Table19[Newtonsoft (duration)])</f>
      </c>
      <c r="D46" s="2" t="e">
        <f>DEVSQ(Table19[.NET baked full (duration)])</f>
      </c>
      <c r="E46" s="2" t="e">
        <f>DEVSQ(Table19[.NET baked minimal (duration)])</f>
      </c>
      <c r="F46" s="2" t="e">
        <f>DEVSQ(Table19[Jackson (duration)])</f>
      </c>
      <c r="G46" s="2" t="e">
        <f>DEVSQ(Table19[JVM baked full (duration)])</f>
      </c>
      <c r="H46" s="2" t="e">
        <f>DEVSQ(Table19[JVM baked minimal (duration)])</f>
      </c>
      <c r="I46" s="2" t="e">
        <f>DEVSQ(Table19[Protobuf.NET (duration)])</f>
      </c>
    </row>
    <row r="47" spans="2:11" x14ac:dyDescent="0.25">
      <c r="B47" t="s">
        <v>1</v>
      </c>
      <c r="C47" s="2" t="e">
        <f>DEVSQ(Table20[Newtonsoft (duration)])</f>
      </c>
      <c r="D47" s="2" t="e">
        <f>DEVSQ(Table20[.NET baked full (duration)])</f>
      </c>
      <c r="E47" s="2" t="e">
        <f>DEVSQ(Table20[.NET baked minimal (duration)])</f>
      </c>
      <c r="F47" s="2" t="e">
        <f>DEVSQ(Table20[Jackson (duration)])</f>
      </c>
      <c r="G47" s="2" t="e">
        <f>DEVSQ(Table20[JVM baked full (duration)])</f>
      </c>
      <c r="H47" s="2" t="e">
        <f>DEVSQ(Table20[JVM baked minimal (duration)])</f>
      </c>
      <c r="I47" s="2" t="e">
        <f>DEVSQ(Table20[Protobuf.NET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1427</v>
      </c>
      <c r="C52">
        <v>49777768</v>
      </c>
      <c r="D52">
        <v>654</v>
      </c>
      <c r="E52">
        <v>49777780</v>
      </c>
      <c r="F52">
        <v>647</v>
      </c>
      <c r="G52">
        <v>49777768</v>
      </c>
      <c r="H52">
        <v>983</v>
      </c>
      <c r="I52">
        <v>49777780</v>
      </c>
      <c r="J52">
        <v>624</v>
      </c>
      <c r="K52">
        <v>49777780</v>
      </c>
      <c r="L52">
        <v>640</v>
      </c>
      <c r="M52">
        <v>49777768</v>
      </c>
      <c r="N52">
        <v>621</v>
      </c>
      <c r="O52">
        <v>24872376</v>
      </c>
    </row>
    <row r="53" spans="2:15" x14ac:dyDescent="0.25">
      <c r="B53">
        <v>1422</v>
      </c>
      <c r="C53">
        <v>49777768</v>
      </c>
      <c r="D53">
        <v>649</v>
      </c>
      <c r="E53">
        <v>49777780</v>
      </c>
      <c r="F53">
        <v>633</v>
      </c>
      <c r="G53">
        <v>49777768</v>
      </c>
      <c r="H53">
        <v>936</v>
      </c>
      <c r="I53">
        <v>49777780</v>
      </c>
      <c r="J53">
        <v>640</v>
      </c>
      <c r="K53">
        <v>49777780</v>
      </c>
      <c r="L53">
        <v>640</v>
      </c>
      <c r="M53">
        <v>49777768</v>
      </c>
      <c r="N53">
        <v>627</v>
      </c>
      <c r="O53">
        <v>24872376</v>
      </c>
    </row>
    <row r="54" spans="2:15" x14ac:dyDescent="0.25">
      <c r="B54">
        <v>1409</v>
      </c>
      <c r="C54">
        <v>49777768</v>
      </c>
      <c r="D54">
        <v>665</v>
      </c>
      <c r="E54">
        <v>49777780</v>
      </c>
      <c r="F54">
        <v>657</v>
      </c>
      <c r="G54">
        <v>49777768</v>
      </c>
      <c r="H54">
        <v>952</v>
      </c>
      <c r="I54">
        <v>49777780</v>
      </c>
      <c r="J54">
        <v>624</v>
      </c>
      <c r="K54">
        <v>49777780</v>
      </c>
      <c r="L54">
        <v>624</v>
      </c>
      <c r="M54">
        <v>49777768</v>
      </c>
      <c r="N54">
        <v>637</v>
      </c>
      <c r="O54">
        <v>24872376</v>
      </c>
    </row>
    <row r="55" spans="2:15" x14ac:dyDescent="0.25">
      <c r="B55">
        <v>1422</v>
      </c>
      <c r="C55">
        <v>49777768</v>
      </c>
      <c r="D55">
        <v>662</v>
      </c>
      <c r="E55">
        <v>49777780</v>
      </c>
      <c r="F55">
        <v>663</v>
      </c>
      <c r="G55">
        <v>49777768</v>
      </c>
      <c r="H55">
        <v>905</v>
      </c>
      <c r="I55">
        <v>49777780</v>
      </c>
      <c r="J55">
        <v>639</v>
      </c>
      <c r="K55">
        <v>49777780</v>
      </c>
      <c r="L55">
        <v>624</v>
      </c>
      <c r="M55">
        <v>49777768</v>
      </c>
      <c r="N55">
        <v>630</v>
      </c>
      <c r="O55">
        <v>24872376</v>
      </c>
    </row>
    <row r="56" spans="2:15" x14ac:dyDescent="0.25">
      <c r="B56">
        <v>1435</v>
      </c>
      <c r="C56">
        <v>49777768</v>
      </c>
      <c r="D56">
        <v>674</v>
      </c>
      <c r="E56">
        <v>49777780</v>
      </c>
      <c r="F56">
        <v>666</v>
      </c>
      <c r="G56">
        <v>49777768</v>
      </c>
      <c r="H56">
        <v>936</v>
      </c>
      <c r="I56">
        <v>49777780</v>
      </c>
      <c r="J56">
        <v>639</v>
      </c>
      <c r="K56">
        <v>49777780</v>
      </c>
      <c r="L56">
        <v>640</v>
      </c>
      <c r="M56">
        <v>49777768</v>
      </c>
      <c r="N56">
        <v>647</v>
      </c>
      <c r="O56">
        <v>24872376</v>
      </c>
    </row>
    <row r="57" spans="2:15" x14ac:dyDescent="0.25">
      <c r="B57">
        <v>1466</v>
      </c>
      <c r="C57">
        <v>49777768</v>
      </c>
      <c r="D57">
        <v>679</v>
      </c>
      <c r="E57">
        <v>49777780</v>
      </c>
      <c r="F57">
        <v>683</v>
      </c>
      <c r="G57">
        <v>49777768</v>
      </c>
      <c r="H57">
        <v>936</v>
      </c>
      <c r="I57">
        <v>49777780</v>
      </c>
      <c r="J57">
        <v>639</v>
      </c>
      <c r="K57">
        <v>49777780</v>
      </c>
      <c r="L57">
        <v>624</v>
      </c>
      <c r="M57">
        <v>49777768</v>
      </c>
      <c r="N57">
        <v>655</v>
      </c>
      <c r="O57">
        <v>24872376</v>
      </c>
    </row>
    <row r="58" spans="2:15" x14ac:dyDescent="0.25">
      <c r="B58">
        <v>1445</v>
      </c>
      <c r="C58">
        <v>49777768</v>
      </c>
      <c r="D58">
        <v>671</v>
      </c>
      <c r="E58">
        <v>49777780</v>
      </c>
      <c r="F58">
        <v>672</v>
      </c>
      <c r="G58">
        <v>49777768</v>
      </c>
      <c r="H58">
        <v>921</v>
      </c>
      <c r="I58">
        <v>49777780</v>
      </c>
      <c r="J58">
        <v>640</v>
      </c>
      <c r="K58">
        <v>49777780</v>
      </c>
      <c r="L58">
        <v>624</v>
      </c>
      <c r="M58">
        <v>49777768</v>
      </c>
      <c r="N58">
        <v>632</v>
      </c>
      <c r="O58">
        <v>24872376</v>
      </c>
    </row>
    <row r="59" spans="2:15" x14ac:dyDescent="0.25">
      <c r="B59">
        <v>1441</v>
      </c>
      <c r="C59">
        <v>49777768</v>
      </c>
      <c r="D59">
        <v>698</v>
      </c>
      <c r="E59">
        <v>49777780</v>
      </c>
      <c r="F59">
        <v>680</v>
      </c>
      <c r="G59">
        <v>49777768</v>
      </c>
      <c r="H59">
        <v>951</v>
      </c>
      <c r="I59">
        <v>49777780</v>
      </c>
      <c r="J59">
        <v>656</v>
      </c>
      <c r="K59">
        <v>49777780</v>
      </c>
      <c r="L59">
        <v>624</v>
      </c>
      <c r="M59">
        <v>49777768</v>
      </c>
      <c r="N59">
        <v>665</v>
      </c>
      <c r="O59">
        <v>24872376</v>
      </c>
    </row>
    <row r="60" spans="2:15" x14ac:dyDescent="0.25">
      <c r="B60">
        <v>1476</v>
      </c>
      <c r="C60">
        <v>49777768</v>
      </c>
      <c r="D60">
        <v>688</v>
      </c>
      <c r="E60">
        <v>49777780</v>
      </c>
      <c r="F60">
        <v>669</v>
      </c>
      <c r="G60">
        <v>49777768</v>
      </c>
      <c r="H60">
        <v>936</v>
      </c>
      <c r="I60">
        <v>49777780</v>
      </c>
      <c r="J60">
        <v>640</v>
      </c>
      <c r="K60">
        <v>49777780</v>
      </c>
      <c r="L60">
        <v>640</v>
      </c>
      <c r="M60">
        <v>49777768</v>
      </c>
      <c r="N60">
        <v>629</v>
      </c>
      <c r="O60">
        <v>24872376</v>
      </c>
    </row>
    <row r="61" spans="2:15" x14ac:dyDescent="0.25">
      <c r="B61">
        <v>1482</v>
      </c>
      <c r="C61">
        <v>49777768</v>
      </c>
      <c r="D61">
        <v>684</v>
      </c>
      <c r="E61">
        <v>49777780</v>
      </c>
      <c r="F61">
        <v>672</v>
      </c>
      <c r="G61">
        <v>49777768</v>
      </c>
      <c r="H61">
        <v>936</v>
      </c>
      <c r="I61">
        <v>49777780</v>
      </c>
      <c r="J61">
        <v>639</v>
      </c>
      <c r="K61">
        <v>49777780</v>
      </c>
      <c r="L61">
        <v>640</v>
      </c>
      <c r="M61">
        <v>49777768</v>
      </c>
      <c r="N61">
        <v>627</v>
      </c>
      <c r="O61">
        <v>24872376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5546</v>
      </c>
      <c r="C65">
        <v>1521</v>
      </c>
      <c r="D65">
        <v>1969</v>
      </c>
      <c r="E65">
        <v>1934</v>
      </c>
      <c r="F65">
        <v>998</v>
      </c>
      <c r="G65">
        <v>968</v>
      </c>
      <c r="H65">
        <v>1373</v>
      </c>
      <c r="I65">
        <v>180</v>
      </c>
      <c r="J65">
        <v>94</v>
      </c>
    </row>
    <row r="66" spans="2:15" x14ac:dyDescent="0.25">
      <c r="B66">
        <v>5566</v>
      </c>
      <c r="C66">
        <v>1500</v>
      </c>
      <c r="D66">
        <v>1873</v>
      </c>
      <c r="E66">
        <v>1965</v>
      </c>
      <c r="F66">
        <v>968</v>
      </c>
      <c r="G66">
        <v>967</v>
      </c>
      <c r="H66">
        <v>1434</v>
      </c>
      <c r="I66">
        <v>181</v>
      </c>
      <c r="J66">
        <v>78</v>
      </c>
    </row>
    <row r="67" spans="2:15" x14ac:dyDescent="0.25">
      <c r="B67">
        <v>5636</v>
      </c>
      <c r="C67">
        <v>1539</v>
      </c>
      <c r="D67">
        <v>1945</v>
      </c>
      <c r="E67">
        <v>1950</v>
      </c>
      <c r="F67">
        <v>936</v>
      </c>
      <c r="G67">
        <v>967</v>
      </c>
      <c r="H67">
        <v>1448</v>
      </c>
      <c r="I67">
        <v>185</v>
      </c>
      <c r="J67">
        <v>94</v>
      </c>
    </row>
    <row r="68" spans="2:15" x14ac:dyDescent="0.25">
      <c r="B68">
        <v>5515</v>
      </c>
      <c r="C68">
        <v>1526</v>
      </c>
      <c r="D68">
        <v>1923</v>
      </c>
      <c r="E68">
        <v>1950</v>
      </c>
      <c r="F68">
        <v>967</v>
      </c>
      <c r="G68">
        <v>968</v>
      </c>
      <c r="H68">
        <v>1459</v>
      </c>
      <c r="I68">
        <v>184</v>
      </c>
      <c r="J68">
        <v>78</v>
      </c>
    </row>
    <row r="69" spans="2:15" x14ac:dyDescent="0.25">
      <c r="B69">
        <v>5665</v>
      </c>
      <c r="C69">
        <v>1541</v>
      </c>
      <c r="D69">
        <v>1915</v>
      </c>
      <c r="E69">
        <v>2059</v>
      </c>
      <c r="F69">
        <v>983</v>
      </c>
      <c r="G69">
        <v>983</v>
      </c>
      <c r="H69">
        <v>1477</v>
      </c>
      <c r="I69">
        <v>181</v>
      </c>
      <c r="J69">
        <v>94</v>
      </c>
    </row>
    <row r="70" spans="2:15" x14ac:dyDescent="0.25">
      <c r="B70">
        <v>5906</v>
      </c>
      <c r="C70">
        <v>1548</v>
      </c>
      <c r="D70">
        <v>1937</v>
      </c>
      <c r="E70">
        <v>1966</v>
      </c>
      <c r="F70">
        <v>967</v>
      </c>
      <c r="G70">
        <v>967</v>
      </c>
      <c r="H70">
        <v>1396</v>
      </c>
      <c r="I70">
        <v>185</v>
      </c>
      <c r="J70">
        <v>78</v>
      </c>
    </row>
    <row r="71" spans="2:15" x14ac:dyDescent="0.25">
      <c r="B71">
        <v>5616</v>
      </c>
      <c r="C71">
        <v>1501</v>
      </c>
      <c r="D71">
        <v>1918</v>
      </c>
      <c r="E71">
        <v>1950</v>
      </c>
      <c r="F71">
        <v>982</v>
      </c>
      <c r="G71">
        <v>967</v>
      </c>
      <c r="H71">
        <v>1426</v>
      </c>
      <c r="I71">
        <v>186</v>
      </c>
      <c r="J71">
        <v>94</v>
      </c>
    </row>
    <row r="72" spans="2:15" x14ac:dyDescent="0.25">
      <c r="B72">
        <v>5579</v>
      </c>
      <c r="C72">
        <v>1574</v>
      </c>
      <c r="D72">
        <v>1945</v>
      </c>
      <c r="E72">
        <v>1997</v>
      </c>
      <c r="F72">
        <v>999</v>
      </c>
      <c r="G72">
        <v>982</v>
      </c>
      <c r="H72">
        <v>1435</v>
      </c>
      <c r="I72">
        <v>174</v>
      </c>
      <c r="J72">
        <v>94</v>
      </c>
    </row>
    <row r="73" spans="2:15" x14ac:dyDescent="0.25">
      <c r="B73">
        <v>6502</v>
      </c>
      <c r="C73">
        <v>1494</v>
      </c>
      <c r="D73">
        <v>1928</v>
      </c>
      <c r="E73">
        <v>1966</v>
      </c>
      <c r="F73">
        <v>983</v>
      </c>
      <c r="G73">
        <v>983</v>
      </c>
      <c r="H73">
        <v>1450</v>
      </c>
      <c r="I73">
        <v>185</v>
      </c>
      <c r="J73">
        <v>78</v>
      </c>
    </row>
    <row r="74" spans="2:15" x14ac:dyDescent="0.25">
      <c r="B74">
        <v>5973</v>
      </c>
      <c r="C74">
        <v>1515</v>
      </c>
      <c r="D74">
        <v>1957</v>
      </c>
      <c r="E74">
        <v>1903</v>
      </c>
      <c r="F74">
        <v>983</v>
      </c>
      <c r="G74">
        <v>998</v>
      </c>
      <c r="H74">
        <v>1448</v>
      </c>
      <c r="I74">
        <v>188</v>
      </c>
      <c r="J74">
        <v>78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59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AVERAGE(Table23[Newtonsoft (duration)])</f>
      </c>
      <c r="D38" s="2" t="e">
        <f>AVERAGE(Table23[.NET baked full (duration)])</f>
      </c>
      <c r="E38" s="2" t="e">
        <f>AVERAGE(Table23[.NET baked minimal (duration)])</f>
      </c>
      <c r="F38" s="2" t="e">
        <f>AVERAGE(Table23[Jackson (duration)])</f>
      </c>
      <c r="G38" s="2" t="e">
        <f>AVERAGE(Table23[JVM baked full (duration)])</f>
      </c>
      <c r="H38" s="2" t="e">
        <f>AVERAGE(Table23[JVM baked minimal (duration)])</f>
      </c>
      <c r="I38" s="2" t="e">
        <f>AVERAGE(Table23[Protobuf.NET (duration)])</f>
      </c>
      <c r="J38" s="2" t="e">
        <f>AVERAGE(Table24[.NET (instance only)])</f>
      </c>
      <c r="K38" s="2" t="e">
        <f>AVERAGE(Table24[JVM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AVERAGE(Table24[Newtonsoft (duration)])</f>
      </c>
      <c r="D40" s="2" t="e">
        <f>AVERAGE(Table24[.NET baked full (duration)])</f>
      </c>
      <c r="E40" s="2" t="e">
        <f>AVERAGE(Table24[.NET baked minimal (duration)])</f>
      </c>
      <c r="F40" s="2" t="e">
        <f>AVERAGE(Table24[Jackson (duration)])</f>
      </c>
      <c r="G40" s="2" t="e">
        <f>AVERAGE(Table24[JVM baked full (duration)])</f>
      </c>
      <c r="H40" s="2" t="e">
        <f>AVERAGE(Table24[JVM baked minimal (duration)])</f>
      </c>
      <c r="I40" s="2" t="e">
        <f>AVERAGE(Table24[Protobuf.NET (duration)])</f>
      </c>
      <c r="J40" s="2"/>
      <c r="K40" s="2"/>
    </row>
    <row r="41" spans="2:11" x14ac:dyDescent="0.25">
      <c r="B41" t="s">
        <v>8</v>
      </c>
      <c r="C41" s="3" t="e">
        <f>AVERAGE(Table23[Newtonsoft (size)])</f>
      </c>
      <c r="D41" s="3" t="e">
        <f>AVERAGE(Table23[.NET baked full (size)])</f>
      </c>
      <c r="E41" s="3" t="e">
        <f>AVERAGE(Table23[.NET baked minimal (size)])</f>
      </c>
      <c r="F41" s="3" t="e">
        <f>AVERAGE(Table23[Jackson (size)])</f>
      </c>
      <c r="G41" s="3" t="e">
        <f>AVERAGE(Table23[JVM baked full (size)])</f>
      </c>
      <c r="H41" s="3" t="e">
        <f>AVERAGE(Table23[JVM baked minimal (size)])</f>
      </c>
      <c r="I41" s="3" t="e">
        <f>AVERAGE(Table23[Protobuf.NET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DEVSQ(Table23[Newtonsoft (duration)])</f>
      </c>
      <c r="D46" s="2" t="e">
        <f>DEVSQ(Table23[.NET baked full (duration)])</f>
      </c>
      <c r="E46" s="2" t="e">
        <f>DEVSQ(Table23[.NET baked minimal (duration)])</f>
      </c>
      <c r="F46" s="2" t="e">
        <f>DEVSQ(Table23[Jackson (duration)])</f>
      </c>
      <c r="G46" s="2" t="e">
        <f>DEVSQ(Table23[JVM baked full (duration)])</f>
      </c>
      <c r="H46" s="2" t="e">
        <f>DEVSQ(Table23[JVM baked minimal (duration)])</f>
      </c>
      <c r="I46" s="2" t="e">
        <f>DEVSQ(Table23[Protobuf.NET (duration)])</f>
      </c>
    </row>
    <row r="47" spans="2:11" x14ac:dyDescent="0.25">
      <c r="B47" t="s">
        <v>1</v>
      </c>
      <c r="C47" s="2" t="e">
        <f>DEVSQ(Table24[Newtonsoft (duration)])</f>
      </c>
      <c r="D47" s="2" t="e">
        <f>DEVSQ(Table24[.NET baked full (duration)])</f>
      </c>
      <c r="E47" s="2" t="e">
        <f>DEVSQ(Table24[.NET baked minimal (duration)])</f>
      </c>
      <c r="F47" s="2" t="e">
        <f>DEVSQ(Table24[Jackson (duration)])</f>
      </c>
      <c r="G47" s="2" t="e">
        <f>DEVSQ(Table24[JVM baked full (duration)])</f>
      </c>
      <c r="H47" s="2" t="e">
        <f>DEVSQ(Table24[JVM baked minimal (duration)])</f>
      </c>
      <c r="I47" s="2" t="e">
        <f>DEVSQ(Table24[Protobuf.NET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13999</v>
      </c>
      <c r="C52">
        <v>517777768</v>
      </c>
      <c r="D52">
        <v>6960</v>
      </c>
      <c r="E52">
        <v>517777780</v>
      </c>
      <c r="F52">
        <v>6774</v>
      </c>
      <c r="G52">
        <v>517777768</v>
      </c>
      <c r="H52">
        <v>4415</v>
      </c>
      <c r="I52">
        <v>517777780</v>
      </c>
      <c r="J52">
        <v>5023</v>
      </c>
      <c r="K52">
        <v>517777780</v>
      </c>
      <c r="L52">
        <v>5038</v>
      </c>
      <c r="M52">
        <v>517777768</v>
      </c>
      <c r="N52">
        <v>6048</v>
      </c>
      <c r="O52">
        <v>266775224</v>
      </c>
    </row>
    <row r="53" spans="2:15" x14ac:dyDescent="0.25">
      <c r="B53">
        <v>14265</v>
      </c>
      <c r="C53">
        <v>517777768</v>
      </c>
      <c r="D53">
        <v>6700</v>
      </c>
      <c r="E53">
        <v>517777780</v>
      </c>
      <c r="F53">
        <v>6836</v>
      </c>
      <c r="G53">
        <v>517777768</v>
      </c>
      <c r="H53">
        <v>4415</v>
      </c>
      <c r="I53">
        <v>517777780</v>
      </c>
      <c r="J53">
        <v>5054</v>
      </c>
      <c r="K53">
        <v>517777780</v>
      </c>
      <c r="L53">
        <v>5007</v>
      </c>
      <c r="M53">
        <v>517777768</v>
      </c>
      <c r="N53">
        <v>6070</v>
      </c>
      <c r="O53">
        <v>266775224</v>
      </c>
    </row>
    <row r="54" spans="2:15" x14ac:dyDescent="0.25">
      <c r="B54">
        <v>13951</v>
      </c>
      <c r="C54">
        <v>517777768</v>
      </c>
      <c r="D54">
        <v>6914</v>
      </c>
      <c r="E54">
        <v>517777780</v>
      </c>
      <c r="F54">
        <v>6801</v>
      </c>
      <c r="G54">
        <v>517777768</v>
      </c>
      <c r="H54">
        <v>4446</v>
      </c>
      <c r="I54">
        <v>517777780</v>
      </c>
      <c r="J54">
        <v>5117</v>
      </c>
      <c r="K54">
        <v>517777780</v>
      </c>
      <c r="L54">
        <v>5133</v>
      </c>
      <c r="M54">
        <v>517777768</v>
      </c>
      <c r="N54">
        <v>6049</v>
      </c>
      <c r="O54">
        <v>266775224</v>
      </c>
    </row>
    <row r="55" spans="2:15" x14ac:dyDescent="0.25">
      <c r="B55">
        <v>16292</v>
      </c>
      <c r="C55">
        <v>517777768</v>
      </c>
      <c r="D55">
        <v>6888</v>
      </c>
      <c r="E55">
        <v>517777780</v>
      </c>
      <c r="F55">
        <v>6808</v>
      </c>
      <c r="G55">
        <v>517777768</v>
      </c>
      <c r="H55">
        <v>4415</v>
      </c>
      <c r="I55">
        <v>517777780</v>
      </c>
      <c r="J55">
        <v>5024</v>
      </c>
      <c r="K55">
        <v>517777780</v>
      </c>
      <c r="L55">
        <v>4992</v>
      </c>
      <c r="M55">
        <v>517777768</v>
      </c>
      <c r="N55">
        <v>6135</v>
      </c>
      <c r="O55">
        <v>266775224</v>
      </c>
    </row>
    <row r="56" spans="2:15" x14ac:dyDescent="0.25">
      <c r="B56">
        <v>13878</v>
      </c>
      <c r="C56">
        <v>517777768</v>
      </c>
      <c r="D56">
        <v>6789</v>
      </c>
      <c r="E56">
        <v>517777780</v>
      </c>
      <c r="F56">
        <v>6704</v>
      </c>
      <c r="G56">
        <v>517777768</v>
      </c>
      <c r="H56">
        <v>4368</v>
      </c>
      <c r="I56">
        <v>517777780</v>
      </c>
      <c r="J56">
        <v>5039</v>
      </c>
      <c r="K56">
        <v>517777780</v>
      </c>
      <c r="L56">
        <v>5195</v>
      </c>
      <c r="M56">
        <v>517777768</v>
      </c>
      <c r="N56">
        <v>5990</v>
      </c>
      <c r="O56">
        <v>266775224</v>
      </c>
    </row>
    <row r="57" spans="2:15" x14ac:dyDescent="0.25">
      <c r="B57">
        <v>13990</v>
      </c>
      <c r="C57">
        <v>517777768</v>
      </c>
      <c r="D57">
        <v>6823</v>
      </c>
      <c r="E57">
        <v>517777780</v>
      </c>
      <c r="F57">
        <v>6804</v>
      </c>
      <c r="G57">
        <v>517777768</v>
      </c>
      <c r="H57">
        <v>4306</v>
      </c>
      <c r="I57">
        <v>517777780</v>
      </c>
      <c r="J57">
        <v>5039</v>
      </c>
      <c r="K57">
        <v>517777780</v>
      </c>
      <c r="L57">
        <v>5039</v>
      </c>
      <c r="M57">
        <v>517777768</v>
      </c>
      <c r="N57">
        <v>6090</v>
      </c>
      <c r="O57">
        <v>266775224</v>
      </c>
    </row>
    <row r="58" spans="2:15" x14ac:dyDescent="0.25">
      <c r="B58">
        <v>13925</v>
      </c>
      <c r="C58">
        <v>517777768</v>
      </c>
      <c r="D58">
        <v>6843</v>
      </c>
      <c r="E58">
        <v>517777780</v>
      </c>
      <c r="F58">
        <v>6752</v>
      </c>
      <c r="G58">
        <v>517777768</v>
      </c>
      <c r="H58">
        <v>4555</v>
      </c>
      <c r="I58">
        <v>517777780</v>
      </c>
      <c r="J58">
        <v>5023</v>
      </c>
      <c r="K58">
        <v>517777780</v>
      </c>
      <c r="L58">
        <v>5023</v>
      </c>
      <c r="M58">
        <v>517777768</v>
      </c>
      <c r="N58">
        <v>6008</v>
      </c>
      <c r="O58">
        <v>266775224</v>
      </c>
    </row>
    <row r="59" spans="2:15" x14ac:dyDescent="0.25">
      <c r="B59">
        <v>16376</v>
      </c>
      <c r="C59">
        <v>517777768</v>
      </c>
      <c r="D59">
        <v>6894</v>
      </c>
      <c r="E59">
        <v>517777780</v>
      </c>
      <c r="F59">
        <v>6822</v>
      </c>
      <c r="G59">
        <v>517777768</v>
      </c>
      <c r="H59">
        <v>4399</v>
      </c>
      <c r="I59">
        <v>517777780</v>
      </c>
      <c r="J59">
        <v>5038</v>
      </c>
      <c r="K59">
        <v>517777780</v>
      </c>
      <c r="L59">
        <v>5008</v>
      </c>
      <c r="M59">
        <v>517777768</v>
      </c>
      <c r="N59">
        <v>6063</v>
      </c>
      <c r="O59">
        <v>266775224</v>
      </c>
    </row>
    <row r="60" spans="2:15" x14ac:dyDescent="0.25">
      <c r="B60">
        <v>13874</v>
      </c>
      <c r="C60">
        <v>517777768</v>
      </c>
      <c r="D60">
        <v>6852</v>
      </c>
      <c r="E60">
        <v>517777780</v>
      </c>
      <c r="F60">
        <v>6849</v>
      </c>
      <c r="G60">
        <v>517777768</v>
      </c>
      <c r="H60">
        <v>4477</v>
      </c>
      <c r="I60">
        <v>517777780</v>
      </c>
      <c r="J60">
        <v>4992</v>
      </c>
      <c r="K60">
        <v>517777780</v>
      </c>
      <c r="L60">
        <v>5023</v>
      </c>
      <c r="M60">
        <v>517777768</v>
      </c>
      <c r="N60">
        <v>6057</v>
      </c>
      <c r="O60">
        <v>266775224</v>
      </c>
    </row>
    <row r="61" spans="2:15" x14ac:dyDescent="0.25">
      <c r="B61">
        <v>14565</v>
      </c>
      <c r="C61">
        <v>517777768</v>
      </c>
      <c r="D61">
        <v>6866</v>
      </c>
      <c r="E61">
        <v>517777780</v>
      </c>
      <c r="F61">
        <v>6779</v>
      </c>
      <c r="G61">
        <v>517777768</v>
      </c>
      <c r="H61">
        <v>4322</v>
      </c>
      <c r="I61">
        <v>517777780</v>
      </c>
      <c r="J61">
        <v>4946</v>
      </c>
      <c r="K61">
        <v>517777780</v>
      </c>
      <c r="L61">
        <v>5055</v>
      </c>
      <c r="M61">
        <v>517777768</v>
      </c>
      <c r="N61">
        <v>5968</v>
      </c>
      <c r="O61">
        <v>266775224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57929</v>
      </c>
      <c r="C65">
        <v>15096</v>
      </c>
      <c r="D65">
        <v>18714</v>
      </c>
      <c r="E65">
        <v>9531</v>
      </c>
      <c r="F65">
        <v>7504</v>
      </c>
      <c r="G65">
        <v>7535</v>
      </c>
      <c r="H65">
        <v>13877</v>
      </c>
      <c r="I65">
        <v>1759</v>
      </c>
      <c r="J65">
        <v>468</v>
      </c>
    </row>
    <row r="66" spans="2:15" x14ac:dyDescent="0.25">
      <c r="B66">
        <v>56231</v>
      </c>
      <c r="C66">
        <v>14952</v>
      </c>
      <c r="D66">
        <v>18750</v>
      </c>
      <c r="E66">
        <v>9937</v>
      </c>
      <c r="F66">
        <v>7644</v>
      </c>
      <c r="G66">
        <v>7410</v>
      </c>
      <c r="H66">
        <v>13783</v>
      </c>
      <c r="I66">
        <v>1844</v>
      </c>
      <c r="J66">
        <v>484</v>
      </c>
    </row>
    <row r="67" spans="2:15" x14ac:dyDescent="0.25">
      <c r="B67">
        <v>61476</v>
      </c>
      <c r="C67">
        <v>15348</v>
      </c>
      <c r="D67">
        <v>19373</v>
      </c>
      <c r="E67">
        <v>10047</v>
      </c>
      <c r="F67">
        <v>7426</v>
      </c>
      <c r="G67">
        <v>7425</v>
      </c>
      <c r="H67">
        <v>13856</v>
      </c>
      <c r="I67">
        <v>1878</v>
      </c>
      <c r="J67">
        <v>483</v>
      </c>
    </row>
    <row r="68" spans="2:15" x14ac:dyDescent="0.25">
      <c r="B68">
        <v>55059</v>
      </c>
      <c r="C68">
        <v>14791</v>
      </c>
      <c r="D68">
        <v>18971</v>
      </c>
      <c r="E68">
        <v>9796</v>
      </c>
      <c r="F68">
        <v>7441</v>
      </c>
      <c r="G68">
        <v>7425</v>
      </c>
      <c r="H68">
        <v>13999</v>
      </c>
      <c r="I68">
        <v>1818</v>
      </c>
      <c r="J68">
        <v>514</v>
      </c>
    </row>
    <row r="69" spans="2:15" x14ac:dyDescent="0.25">
      <c r="B69">
        <v>55043</v>
      </c>
      <c r="C69">
        <v>14588</v>
      </c>
      <c r="D69">
        <v>18899</v>
      </c>
      <c r="E69">
        <v>10406</v>
      </c>
      <c r="F69">
        <v>7472</v>
      </c>
      <c r="G69">
        <v>7503</v>
      </c>
      <c r="H69">
        <v>13936</v>
      </c>
      <c r="I69">
        <v>1841</v>
      </c>
      <c r="J69">
        <v>468</v>
      </c>
    </row>
    <row r="70" spans="2:15" x14ac:dyDescent="0.25">
      <c r="B70">
        <v>55962</v>
      </c>
      <c r="C70">
        <v>15373</v>
      </c>
      <c r="D70">
        <v>18767</v>
      </c>
      <c r="E70">
        <v>9844</v>
      </c>
      <c r="F70">
        <v>7316</v>
      </c>
      <c r="G70">
        <v>7410</v>
      </c>
      <c r="H70">
        <v>13860</v>
      </c>
      <c r="I70">
        <v>1777</v>
      </c>
      <c r="J70">
        <v>484</v>
      </c>
    </row>
    <row r="71" spans="2:15" x14ac:dyDescent="0.25">
      <c r="B71">
        <v>56701</v>
      </c>
      <c r="C71">
        <v>14889</v>
      </c>
      <c r="D71">
        <v>18902</v>
      </c>
      <c r="E71">
        <v>9672</v>
      </c>
      <c r="F71">
        <v>7301</v>
      </c>
      <c r="G71">
        <v>7410</v>
      </c>
      <c r="H71">
        <v>13674</v>
      </c>
      <c r="I71">
        <v>1853</v>
      </c>
      <c r="J71">
        <v>499</v>
      </c>
    </row>
    <row r="72" spans="2:15" x14ac:dyDescent="0.25">
      <c r="B72">
        <v>54781</v>
      </c>
      <c r="C72">
        <v>14743</v>
      </c>
      <c r="D72">
        <v>19135</v>
      </c>
      <c r="E72">
        <v>9812</v>
      </c>
      <c r="F72">
        <v>7456</v>
      </c>
      <c r="G72">
        <v>7457</v>
      </c>
      <c r="H72">
        <v>13734</v>
      </c>
      <c r="I72">
        <v>1861</v>
      </c>
      <c r="J72">
        <v>484</v>
      </c>
    </row>
    <row r="73" spans="2:15" x14ac:dyDescent="0.25">
      <c r="B73">
        <v>55044</v>
      </c>
      <c r="C73">
        <v>15292</v>
      </c>
      <c r="D73">
        <v>18771</v>
      </c>
      <c r="E73">
        <v>9937</v>
      </c>
      <c r="F73">
        <v>7363</v>
      </c>
      <c r="G73">
        <v>7597</v>
      </c>
      <c r="H73">
        <v>13555</v>
      </c>
      <c r="I73">
        <v>1820</v>
      </c>
      <c r="J73">
        <v>483</v>
      </c>
    </row>
    <row r="74" spans="2:15" x14ac:dyDescent="0.25">
      <c r="B74">
        <v>54087</v>
      </c>
      <c r="C74">
        <v>14689</v>
      </c>
      <c r="D74">
        <v>18566</v>
      </c>
      <c r="E74">
        <v>9937</v>
      </c>
      <c r="F74">
        <v>7347</v>
      </c>
      <c r="G74">
        <v>7582</v>
      </c>
      <c r="H74">
        <v>13852</v>
      </c>
      <c r="I74">
        <v>1860</v>
      </c>
      <c r="J74">
        <v>483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60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AVERAGE(Table27[Newtonsoft (duration)])</f>
      </c>
      <c r="D38" s="2" t="e">
        <f>AVERAGE(Table27[.NET baked full (duration)])</f>
      </c>
      <c r="E38" s="2" t="e">
        <f>AVERAGE(Table27[.NET baked minimal (duration)])</f>
      </c>
      <c r="F38" s="2" t="e">
        <f>AVERAGE(Table27[Jackson (duration)])</f>
      </c>
      <c r="G38" s="2" t="e">
        <f>AVERAGE(Table27[JVM baked full (duration)])</f>
      </c>
      <c r="H38" s="2" t="e">
        <f>AVERAGE(Table27[JVM baked minimal (duration)])</f>
      </c>
      <c r="I38" s="2" t="e">
        <f>AVERAGE(Table27[Protobuf.NET (duration)])</f>
      </c>
      <c r="J38" s="2" t="e">
        <f>AVERAGE(Table28[.NET (instance only)])</f>
      </c>
      <c r="K38" s="2" t="e">
        <f>AVERAGE(Table28[JVM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AVERAGE(Table28[Newtonsoft (duration)])</f>
      </c>
      <c r="D40" s="2" t="e">
        <f>AVERAGE(Table28[.NET baked full (duration)])</f>
      </c>
      <c r="E40" s="2" t="e">
        <f>AVERAGE(Table28[.NET baked minimal (duration)])</f>
      </c>
      <c r="F40" s="2" t="e">
        <f>AVERAGE(Table28[Jackson (duration)])</f>
      </c>
      <c r="G40" s="2" t="e">
        <f>AVERAGE(Table28[JVM baked full (duration)])</f>
      </c>
      <c r="H40" s="2" t="e">
        <f>AVERAGE(Table28[JVM baked minimal (duration)])</f>
      </c>
      <c r="I40" s="2" t="e">
        <f>AVERAGE(Table28[Protobuf.NET (duration)])</f>
      </c>
      <c r="J40" s="2"/>
      <c r="K40" s="2"/>
    </row>
    <row r="41" spans="2:11" x14ac:dyDescent="0.25">
      <c r="B41" t="s">
        <v>8</v>
      </c>
      <c r="C41" s="3" t="e">
        <f>AVERAGE(Table27[Newtonsoft (size)])</f>
      </c>
      <c r="D41" s="3" t="e">
        <f>AVERAGE(Table27[.NET baked full (size)])</f>
      </c>
      <c r="E41" s="3" t="e">
        <f>AVERAGE(Table27[.NET baked minimal (size)])</f>
      </c>
      <c r="F41" s="3" t="e">
        <f>AVERAGE(Table27[Jackson (size)])</f>
      </c>
      <c r="G41" s="3" t="e">
        <f>AVERAGE(Table27[JVM baked full (size)])</f>
      </c>
      <c r="H41" s="3" t="e">
        <f>AVERAGE(Table27[JVM baked minimal (size)])</f>
      </c>
      <c r="I41" s="3" t="e">
        <f>AVERAGE(Table27[Protobuf.NET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DEVSQ(Table27[Newtonsoft (duration)])</f>
      </c>
      <c r="D46" s="2" t="e">
        <f>DEVSQ(Table27[.NET baked full (duration)])</f>
      </c>
      <c r="E46" s="2" t="e">
        <f>DEVSQ(Table27[.NET baked minimal (duration)])</f>
      </c>
      <c r="F46" s="2" t="e">
        <f>DEVSQ(Table27[Jackson (duration)])</f>
      </c>
      <c r="G46" s="2" t="e">
        <f>DEVSQ(Table27[JVM baked full (duration)])</f>
      </c>
      <c r="H46" s="2" t="e">
        <f>DEVSQ(Table27[JVM baked minimal (duration)])</f>
      </c>
      <c r="I46" s="2" t="e">
        <f>DEVSQ(Table27[Protobuf.NET (duration)])</f>
      </c>
    </row>
    <row r="47" spans="2:11" x14ac:dyDescent="0.25">
      <c r="B47" t="s">
        <v>1</v>
      </c>
      <c r="C47" s="2" t="e">
        <f>DEVSQ(Table28[Newtonsoft (duration)])</f>
      </c>
      <c r="D47" s="2" t="e">
        <f>DEVSQ(Table28[.NET baked full (duration)])</f>
      </c>
      <c r="E47" s="2" t="e">
        <f>DEVSQ(Table28[.NET baked minimal (duration)])</f>
      </c>
      <c r="F47" s="2" t="e">
        <f>DEVSQ(Table28[Jackson (duration)])</f>
      </c>
      <c r="G47" s="2" t="e">
        <f>DEVSQ(Table28[JVM baked full (duration)])</f>
      </c>
      <c r="H47" s="2" t="e">
        <f>DEVSQ(Table28[JVM baked minimal (duration)])</f>
      </c>
      <c r="I47" s="2" t="e">
        <f>DEVSQ(Table28[Protobuf.NET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137</v>
      </c>
      <c r="C52">
        <v>2577764</v>
      </c>
      <c r="D52">
        <v>61</v>
      </c>
      <c r="E52">
        <v>2177779</v>
      </c>
      <c r="F52">
        <v>58</v>
      </c>
      <c r="G52">
        <v>2177768</v>
      </c>
      <c r="H52">
        <v>124</v>
      </c>
      <c r="I52">
        <v>2177779</v>
      </c>
      <c r="J52">
        <v>63</v>
      </c>
      <c r="K52">
        <v>2177779</v>
      </c>
      <c r="L52">
        <v>78</v>
      </c>
      <c r="M52">
        <v>2177768</v>
      </c>
      <c r="N52">
        <v>57</v>
      </c>
      <c r="O52">
        <v>1366966</v>
      </c>
    </row>
    <row r="53" spans="2:15" x14ac:dyDescent="0.25">
      <c r="B53">
        <v>157</v>
      </c>
      <c r="C53">
        <v>2577764</v>
      </c>
      <c r="D53">
        <v>59</v>
      </c>
      <c r="E53">
        <v>2177779</v>
      </c>
      <c r="F53">
        <v>58</v>
      </c>
      <c r="G53">
        <v>2177768</v>
      </c>
      <c r="H53">
        <v>141</v>
      </c>
      <c r="I53">
        <v>2177779</v>
      </c>
      <c r="J53">
        <v>78</v>
      </c>
      <c r="K53">
        <v>2177779</v>
      </c>
      <c r="L53">
        <v>78</v>
      </c>
      <c r="M53">
        <v>2177768</v>
      </c>
      <c r="N53">
        <v>56</v>
      </c>
      <c r="O53">
        <v>1366966</v>
      </c>
    </row>
    <row r="54" spans="2:15" x14ac:dyDescent="0.25">
      <c r="B54">
        <v>137</v>
      </c>
      <c r="C54">
        <v>2577764</v>
      </c>
      <c r="D54">
        <v>57</v>
      </c>
      <c r="E54">
        <v>2177779</v>
      </c>
      <c r="F54">
        <v>57</v>
      </c>
      <c r="G54">
        <v>2177768</v>
      </c>
      <c r="H54">
        <v>140</v>
      </c>
      <c r="I54">
        <v>2177779</v>
      </c>
      <c r="J54">
        <v>78</v>
      </c>
      <c r="K54">
        <v>2177779</v>
      </c>
      <c r="L54">
        <v>78</v>
      </c>
      <c r="M54">
        <v>2177768</v>
      </c>
      <c r="N54">
        <v>55</v>
      </c>
      <c r="O54">
        <v>1366966</v>
      </c>
    </row>
    <row r="55" spans="2:15" x14ac:dyDescent="0.25">
      <c r="B55">
        <v>142</v>
      </c>
      <c r="C55">
        <v>2577764</v>
      </c>
      <c r="D55">
        <v>60</v>
      </c>
      <c r="E55">
        <v>2177779</v>
      </c>
      <c r="F55">
        <v>61</v>
      </c>
      <c r="G55">
        <v>2177768</v>
      </c>
      <c r="H55">
        <v>156</v>
      </c>
      <c r="I55">
        <v>2177779</v>
      </c>
      <c r="J55">
        <v>78</v>
      </c>
      <c r="K55">
        <v>2177779</v>
      </c>
      <c r="L55">
        <v>78</v>
      </c>
      <c r="M55">
        <v>2177768</v>
      </c>
      <c r="N55">
        <v>56</v>
      </c>
      <c r="O55">
        <v>1366966</v>
      </c>
    </row>
    <row r="56" spans="2:15" x14ac:dyDescent="0.25">
      <c r="B56">
        <v>143</v>
      </c>
      <c r="C56">
        <v>2577764</v>
      </c>
      <c r="D56">
        <v>59</v>
      </c>
      <c r="E56">
        <v>2177779</v>
      </c>
      <c r="F56">
        <v>59</v>
      </c>
      <c r="G56">
        <v>2177768</v>
      </c>
      <c r="H56">
        <v>125</v>
      </c>
      <c r="I56">
        <v>2177779</v>
      </c>
      <c r="J56">
        <v>78</v>
      </c>
      <c r="K56">
        <v>2177779</v>
      </c>
      <c r="L56">
        <v>78</v>
      </c>
      <c r="M56">
        <v>2177768</v>
      </c>
      <c r="N56">
        <v>57</v>
      </c>
      <c r="O56">
        <v>1366966</v>
      </c>
    </row>
    <row r="57" spans="2:15" x14ac:dyDescent="0.25">
      <c r="B57">
        <v>141</v>
      </c>
      <c r="C57">
        <v>2577764</v>
      </c>
      <c r="D57">
        <v>60</v>
      </c>
      <c r="E57">
        <v>2177779</v>
      </c>
      <c r="F57">
        <v>57</v>
      </c>
      <c r="G57">
        <v>2177768</v>
      </c>
      <c r="H57">
        <v>141</v>
      </c>
      <c r="I57">
        <v>2177779</v>
      </c>
      <c r="J57">
        <v>78</v>
      </c>
      <c r="K57">
        <v>2177779</v>
      </c>
      <c r="L57">
        <v>78</v>
      </c>
      <c r="M57">
        <v>2177768</v>
      </c>
      <c r="N57">
        <v>58</v>
      </c>
      <c r="O57">
        <v>1366966</v>
      </c>
    </row>
    <row r="58" spans="2:15" x14ac:dyDescent="0.25">
      <c r="B58">
        <v>153</v>
      </c>
      <c r="C58">
        <v>2577764</v>
      </c>
      <c r="D58">
        <v>58</v>
      </c>
      <c r="E58">
        <v>2177779</v>
      </c>
      <c r="F58">
        <v>58</v>
      </c>
      <c r="G58">
        <v>2177768</v>
      </c>
      <c r="H58">
        <v>140</v>
      </c>
      <c r="I58">
        <v>2177779</v>
      </c>
      <c r="J58">
        <v>93</v>
      </c>
      <c r="K58">
        <v>2177779</v>
      </c>
      <c r="L58">
        <v>78</v>
      </c>
      <c r="M58">
        <v>2177768</v>
      </c>
      <c r="N58">
        <v>58</v>
      </c>
      <c r="O58">
        <v>1366966</v>
      </c>
    </row>
    <row r="59" spans="2:15" x14ac:dyDescent="0.25">
      <c r="B59">
        <v>145</v>
      </c>
      <c r="C59">
        <v>2577764</v>
      </c>
      <c r="D59">
        <v>58</v>
      </c>
      <c r="E59">
        <v>2177779</v>
      </c>
      <c r="F59">
        <v>59</v>
      </c>
      <c r="G59">
        <v>2177768</v>
      </c>
      <c r="H59">
        <v>125</v>
      </c>
      <c r="I59">
        <v>2177779</v>
      </c>
      <c r="J59">
        <v>78</v>
      </c>
      <c r="K59">
        <v>2177779</v>
      </c>
      <c r="L59">
        <v>62</v>
      </c>
      <c r="M59">
        <v>2177768</v>
      </c>
      <c r="N59">
        <v>55</v>
      </c>
      <c r="O59">
        <v>1366966</v>
      </c>
    </row>
    <row r="60" spans="2:15" x14ac:dyDescent="0.25">
      <c r="B60">
        <v>138</v>
      </c>
      <c r="C60">
        <v>2577764</v>
      </c>
      <c r="D60">
        <v>58</v>
      </c>
      <c r="E60">
        <v>2177779</v>
      </c>
      <c r="F60">
        <v>57</v>
      </c>
      <c r="G60">
        <v>2177768</v>
      </c>
      <c r="H60">
        <v>140</v>
      </c>
      <c r="I60">
        <v>2177779</v>
      </c>
      <c r="J60">
        <v>78</v>
      </c>
      <c r="K60">
        <v>2177779</v>
      </c>
      <c r="L60">
        <v>78</v>
      </c>
      <c r="M60">
        <v>2177768</v>
      </c>
      <c r="N60">
        <v>58</v>
      </c>
      <c r="O60">
        <v>1366966</v>
      </c>
    </row>
    <row r="61" spans="2:15" x14ac:dyDescent="0.25">
      <c r="B61">
        <v>156</v>
      </c>
      <c r="C61">
        <v>2577764</v>
      </c>
      <c r="D61">
        <v>60</v>
      </c>
      <c r="E61">
        <v>2177779</v>
      </c>
      <c r="F61">
        <v>60</v>
      </c>
      <c r="G61">
        <v>2177768</v>
      </c>
      <c r="H61">
        <v>140</v>
      </c>
      <c r="I61">
        <v>2177779</v>
      </c>
      <c r="J61">
        <v>62</v>
      </c>
      <c r="K61">
        <v>2177779</v>
      </c>
      <c r="L61">
        <v>62</v>
      </c>
      <c r="M61">
        <v>2177768</v>
      </c>
      <c r="N61">
        <v>57</v>
      </c>
      <c r="O61">
        <v>1366966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713</v>
      </c>
      <c r="C65">
        <v>155</v>
      </c>
      <c r="D65">
        <v>202</v>
      </c>
      <c r="E65">
        <v>265</v>
      </c>
      <c r="F65">
        <v>156</v>
      </c>
      <c r="G65">
        <v>156</v>
      </c>
      <c r="H65">
        <v>139</v>
      </c>
      <c r="I65">
        <v>2</v>
      </c>
      <c r="J65">
        <v>15</v>
      </c>
    </row>
    <row r="66" spans="2:15" x14ac:dyDescent="0.25">
      <c r="B66">
        <v>676</v>
      </c>
      <c r="C66">
        <v>151</v>
      </c>
      <c r="D66">
        <v>211</v>
      </c>
      <c r="E66">
        <v>265</v>
      </c>
      <c r="F66">
        <v>171</v>
      </c>
      <c r="G66">
        <v>156</v>
      </c>
      <c r="H66">
        <v>140</v>
      </c>
      <c r="I66">
        <v>2</v>
      </c>
      <c r="J66">
        <v>16</v>
      </c>
    </row>
    <row r="67" spans="2:15" x14ac:dyDescent="0.25">
      <c r="B67">
        <v>682</v>
      </c>
      <c r="C67">
        <v>155</v>
      </c>
      <c r="D67">
        <v>207</v>
      </c>
      <c r="E67">
        <v>265</v>
      </c>
      <c r="F67">
        <v>156</v>
      </c>
      <c r="G67">
        <v>156</v>
      </c>
      <c r="H67">
        <v>136</v>
      </c>
      <c r="I67">
        <v>2</v>
      </c>
      <c r="J67">
        <v>15</v>
      </c>
    </row>
    <row r="68" spans="2:15" x14ac:dyDescent="0.25">
      <c r="B68">
        <v>675</v>
      </c>
      <c r="C68">
        <v>154</v>
      </c>
      <c r="D68">
        <v>211</v>
      </c>
      <c r="E68">
        <v>265</v>
      </c>
      <c r="F68">
        <v>172</v>
      </c>
      <c r="G68">
        <v>172</v>
      </c>
      <c r="H68">
        <v>138</v>
      </c>
      <c r="I68">
        <v>2</v>
      </c>
      <c r="J68">
        <v>15</v>
      </c>
    </row>
    <row r="69" spans="2:15" x14ac:dyDescent="0.25">
      <c r="B69">
        <v>756</v>
      </c>
      <c r="C69">
        <v>155</v>
      </c>
      <c r="D69">
        <v>206</v>
      </c>
      <c r="E69">
        <v>266</v>
      </c>
      <c r="F69">
        <v>156</v>
      </c>
      <c r="G69">
        <v>172</v>
      </c>
      <c r="H69">
        <v>136</v>
      </c>
      <c r="I69">
        <v>2</v>
      </c>
      <c r="J69">
        <v>16</v>
      </c>
    </row>
    <row r="70" spans="2:15" x14ac:dyDescent="0.25">
      <c r="B70">
        <v>726</v>
      </c>
      <c r="C70">
        <v>158</v>
      </c>
      <c r="D70">
        <v>197</v>
      </c>
      <c r="E70">
        <v>250</v>
      </c>
      <c r="F70">
        <v>172</v>
      </c>
      <c r="G70">
        <v>171</v>
      </c>
      <c r="H70">
        <v>133</v>
      </c>
      <c r="I70">
        <v>2</v>
      </c>
      <c r="J70">
        <v>15</v>
      </c>
    </row>
    <row r="71" spans="2:15" x14ac:dyDescent="0.25">
      <c r="B71">
        <v>629</v>
      </c>
      <c r="C71">
        <v>154</v>
      </c>
      <c r="D71">
        <v>200</v>
      </c>
      <c r="E71">
        <v>250</v>
      </c>
      <c r="F71">
        <v>156</v>
      </c>
      <c r="G71">
        <v>171</v>
      </c>
      <c r="H71">
        <v>138</v>
      </c>
      <c r="I71">
        <v>2</v>
      </c>
      <c r="J71">
        <v>16</v>
      </c>
    </row>
    <row r="72" spans="2:15" x14ac:dyDescent="0.25">
      <c r="B72">
        <v>650</v>
      </c>
      <c r="C72">
        <v>157</v>
      </c>
      <c r="D72">
        <v>205</v>
      </c>
      <c r="E72">
        <v>266</v>
      </c>
      <c r="F72">
        <v>172</v>
      </c>
      <c r="G72">
        <v>171</v>
      </c>
      <c r="H72">
        <v>137</v>
      </c>
      <c r="I72">
        <v>2</v>
      </c>
      <c r="J72">
        <v>16</v>
      </c>
    </row>
    <row r="73" spans="2:15" x14ac:dyDescent="0.25">
      <c r="B73">
        <v>697</v>
      </c>
      <c r="C73">
        <v>158</v>
      </c>
      <c r="D73">
        <v>205</v>
      </c>
      <c r="E73">
        <v>265</v>
      </c>
      <c r="F73">
        <v>156</v>
      </c>
      <c r="G73">
        <v>203</v>
      </c>
      <c r="H73">
        <v>135</v>
      </c>
      <c r="I73">
        <v>2</v>
      </c>
      <c r="J73">
        <v>16</v>
      </c>
    </row>
    <row r="74" spans="2:15" x14ac:dyDescent="0.25">
      <c r="B74">
        <v>643</v>
      </c>
      <c r="C74">
        <v>155</v>
      </c>
      <c r="D74">
        <v>211</v>
      </c>
      <c r="E74">
        <v>265</v>
      </c>
      <c r="F74">
        <v>156</v>
      </c>
      <c r="G74">
        <v>172</v>
      </c>
      <c r="H74">
        <v>134</v>
      </c>
      <c r="I74">
        <v>2</v>
      </c>
      <c r="J74">
        <v>15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61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AVERAGE(Table31[Newtonsoft (duration)])</f>
      </c>
      <c r="D38" s="2" t="e">
        <f>AVERAGE(Table31[.NET baked full (duration)])</f>
      </c>
      <c r="E38" s="2" t="e">
        <f>AVERAGE(Table31[.NET baked minimal (duration)])</f>
      </c>
      <c r="F38" s="2" t="e">
        <f>AVERAGE(Table31[Jackson (duration)])</f>
      </c>
      <c r="G38" s="2" t="e">
        <f>AVERAGE(Table31[JVM baked full (duration)])</f>
      </c>
      <c r="H38" s="2" t="e">
        <f>AVERAGE(Table31[JVM baked minimal (duration)])</f>
      </c>
      <c r="I38" s="2" t="e">
        <f>AVERAGE(Table31[Protobuf.NET (duration)])</f>
      </c>
      <c r="J38" s="2" t="e">
        <f>AVERAGE(Table32[.NET (instance only)])</f>
      </c>
      <c r="K38" s="2" t="e">
        <f>AVERAGE(Table32[JVM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AVERAGE(Table32[Newtonsoft (duration)])</f>
      </c>
      <c r="D40" s="2" t="e">
        <f>AVERAGE(Table32[.NET baked full (duration)])</f>
      </c>
      <c r="E40" s="2" t="e">
        <f>AVERAGE(Table32[.NET baked minimal (duration)])</f>
      </c>
      <c r="F40" s="2" t="e">
        <f>AVERAGE(Table32[Jackson (duration)])</f>
      </c>
      <c r="G40" s="2" t="e">
        <f>AVERAGE(Table32[JVM baked full (duration)])</f>
      </c>
      <c r="H40" s="2" t="e">
        <f>AVERAGE(Table32[JVM baked minimal (duration)])</f>
      </c>
      <c r="I40" s="2" t="e">
        <f>AVERAGE(Table32[Protobuf.NET (duration)])</f>
      </c>
      <c r="J40" s="2"/>
      <c r="K40" s="2"/>
    </row>
    <row r="41" spans="2:11" x14ac:dyDescent="0.25">
      <c r="B41" t="s">
        <v>8</v>
      </c>
      <c r="C41" s="3" t="e">
        <f>AVERAGE(Table31[Newtonsoft (size)])</f>
      </c>
      <c r="D41" s="3" t="e">
        <f>AVERAGE(Table31[.NET baked full (size)])</f>
      </c>
      <c r="E41" s="3" t="e">
        <f>AVERAGE(Table31[.NET baked minimal (size)])</f>
      </c>
      <c r="F41" s="3" t="e">
        <f>AVERAGE(Table31[Jackson (size)])</f>
      </c>
      <c r="G41" s="3" t="e">
        <f>AVERAGE(Table31[JVM baked full (size)])</f>
      </c>
      <c r="H41" s="3" t="e">
        <f>AVERAGE(Table31[JVM baked minimal (size)])</f>
      </c>
      <c r="I41" s="3" t="e">
        <f>AVERAGE(Table31[Protobuf.NET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DEVSQ(Table31[Newtonsoft (duration)])</f>
      </c>
      <c r="D46" s="2" t="e">
        <f>DEVSQ(Table31[.NET baked full (duration)])</f>
      </c>
      <c r="E46" s="2" t="e">
        <f>DEVSQ(Table31[.NET baked minimal (duration)])</f>
      </c>
      <c r="F46" s="2" t="e">
        <f>DEVSQ(Table31[Jackson (duration)])</f>
      </c>
      <c r="G46" s="2" t="e">
        <f>DEVSQ(Table31[JVM baked full (duration)])</f>
      </c>
      <c r="H46" s="2" t="e">
        <f>DEVSQ(Table31[JVM baked minimal (duration)])</f>
      </c>
      <c r="I46" s="2" t="e">
        <f>DEVSQ(Table31[Protobuf.NET (duration)])</f>
      </c>
    </row>
    <row r="47" spans="2:11" x14ac:dyDescent="0.25">
      <c r="B47" t="s">
        <v>1</v>
      </c>
      <c r="C47" s="2" t="e">
        <f>DEVSQ(Table32[Newtonsoft (duration)])</f>
      </c>
      <c r="D47" s="2" t="e">
        <f>DEVSQ(Table32[.NET baked full (duration)])</f>
      </c>
      <c r="E47" s="2" t="e">
        <f>DEVSQ(Table32[.NET baked minimal (duration)])</f>
      </c>
      <c r="F47" s="2" t="e">
        <f>DEVSQ(Table32[Jackson (duration)])</f>
      </c>
      <c r="G47" s="2" t="e">
        <f>DEVSQ(Table32[JVM baked full (duration)])</f>
      </c>
      <c r="H47" s="2" t="e">
        <f>DEVSQ(Table32[JVM baked minimal (duration)])</f>
      </c>
      <c r="I47" s="2" t="e">
        <f>DEVSQ(Table32[Protobuf.NET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1414</v>
      </c>
      <c r="C52">
        <v>27777764</v>
      </c>
      <c r="D52">
        <v>595</v>
      </c>
      <c r="E52">
        <v>23777779</v>
      </c>
      <c r="F52">
        <v>598</v>
      </c>
      <c r="G52">
        <v>23777768</v>
      </c>
      <c r="H52">
        <v>546</v>
      </c>
      <c r="I52">
        <v>23777779</v>
      </c>
      <c r="J52">
        <v>452</v>
      </c>
      <c r="K52">
        <v>23777779</v>
      </c>
      <c r="L52">
        <v>452</v>
      </c>
      <c r="M52">
        <v>23777768</v>
      </c>
      <c r="N52">
        <v>532</v>
      </c>
      <c r="O52">
        <v>13966966</v>
      </c>
    </row>
    <row r="53" spans="2:15" x14ac:dyDescent="0.25">
      <c r="B53">
        <v>1422</v>
      </c>
      <c r="C53">
        <v>27777764</v>
      </c>
      <c r="D53">
        <v>602</v>
      </c>
      <c r="E53">
        <v>23777779</v>
      </c>
      <c r="F53">
        <v>583</v>
      </c>
      <c r="G53">
        <v>23777768</v>
      </c>
      <c r="H53">
        <v>546</v>
      </c>
      <c r="I53">
        <v>23777779</v>
      </c>
      <c r="J53">
        <v>452</v>
      </c>
      <c r="K53">
        <v>23777779</v>
      </c>
      <c r="L53">
        <v>452</v>
      </c>
      <c r="M53">
        <v>23777768</v>
      </c>
      <c r="N53">
        <v>531</v>
      </c>
      <c r="O53">
        <v>13966966</v>
      </c>
    </row>
    <row r="54" spans="2:15" x14ac:dyDescent="0.25">
      <c r="B54">
        <v>1529</v>
      </c>
      <c r="C54">
        <v>27777764</v>
      </c>
      <c r="D54">
        <v>595</v>
      </c>
      <c r="E54">
        <v>23777779</v>
      </c>
      <c r="F54">
        <v>614</v>
      </c>
      <c r="G54">
        <v>23777768</v>
      </c>
      <c r="H54">
        <v>561</v>
      </c>
      <c r="I54">
        <v>23777779</v>
      </c>
      <c r="J54">
        <v>453</v>
      </c>
      <c r="K54">
        <v>23777779</v>
      </c>
      <c r="L54">
        <v>452</v>
      </c>
      <c r="M54">
        <v>23777768</v>
      </c>
      <c r="N54">
        <v>536</v>
      </c>
      <c r="O54">
        <v>13966966</v>
      </c>
    </row>
    <row r="55" spans="2:15" x14ac:dyDescent="0.25">
      <c r="B55">
        <v>1531</v>
      </c>
      <c r="C55">
        <v>27777764</v>
      </c>
      <c r="D55">
        <v>622</v>
      </c>
      <c r="E55">
        <v>23777779</v>
      </c>
      <c r="F55">
        <v>623</v>
      </c>
      <c r="G55">
        <v>23777768</v>
      </c>
      <c r="H55">
        <v>608</v>
      </c>
      <c r="I55">
        <v>23777779</v>
      </c>
      <c r="J55">
        <v>468</v>
      </c>
      <c r="K55">
        <v>23777779</v>
      </c>
      <c r="L55">
        <v>452</v>
      </c>
      <c r="M55">
        <v>23777768</v>
      </c>
      <c r="N55">
        <v>541</v>
      </c>
      <c r="O55">
        <v>13966966</v>
      </c>
    </row>
    <row r="56" spans="2:15" x14ac:dyDescent="0.25">
      <c r="B56">
        <v>1503</v>
      </c>
      <c r="C56">
        <v>27777764</v>
      </c>
      <c r="D56">
        <v>604</v>
      </c>
      <c r="E56">
        <v>23777779</v>
      </c>
      <c r="F56">
        <v>599</v>
      </c>
      <c r="G56">
        <v>23777768</v>
      </c>
      <c r="H56">
        <v>578</v>
      </c>
      <c r="I56">
        <v>23777779</v>
      </c>
      <c r="J56">
        <v>468</v>
      </c>
      <c r="K56">
        <v>23777779</v>
      </c>
      <c r="L56">
        <v>452</v>
      </c>
      <c r="M56">
        <v>23777768</v>
      </c>
      <c r="N56">
        <v>529</v>
      </c>
      <c r="O56">
        <v>13966966</v>
      </c>
    </row>
    <row r="57" spans="2:15" x14ac:dyDescent="0.25">
      <c r="B57">
        <v>1519</v>
      </c>
      <c r="C57">
        <v>27777764</v>
      </c>
      <c r="D57">
        <v>635</v>
      </c>
      <c r="E57">
        <v>23777779</v>
      </c>
      <c r="F57">
        <v>628</v>
      </c>
      <c r="G57">
        <v>23777768</v>
      </c>
      <c r="H57">
        <v>546</v>
      </c>
      <c r="I57">
        <v>23777779</v>
      </c>
      <c r="J57">
        <v>468</v>
      </c>
      <c r="K57">
        <v>23777779</v>
      </c>
      <c r="L57">
        <v>453</v>
      </c>
      <c r="M57">
        <v>23777768</v>
      </c>
      <c r="N57">
        <v>558</v>
      </c>
      <c r="O57">
        <v>13966966</v>
      </c>
    </row>
    <row r="58" spans="2:15" x14ac:dyDescent="0.25">
      <c r="B58">
        <v>1436</v>
      </c>
      <c r="C58">
        <v>27777764</v>
      </c>
      <c r="D58">
        <v>610</v>
      </c>
      <c r="E58">
        <v>23777779</v>
      </c>
      <c r="F58">
        <v>604</v>
      </c>
      <c r="G58">
        <v>23777768</v>
      </c>
      <c r="H58">
        <v>592</v>
      </c>
      <c r="I58">
        <v>23777779</v>
      </c>
      <c r="J58">
        <v>468</v>
      </c>
      <c r="K58">
        <v>23777779</v>
      </c>
      <c r="L58">
        <v>452</v>
      </c>
      <c r="M58">
        <v>23777768</v>
      </c>
      <c r="N58">
        <v>547</v>
      </c>
      <c r="O58">
        <v>13966966</v>
      </c>
    </row>
    <row r="59" spans="2:15" x14ac:dyDescent="0.25">
      <c r="B59">
        <v>1540</v>
      </c>
      <c r="C59">
        <v>27777764</v>
      </c>
      <c r="D59">
        <v>614</v>
      </c>
      <c r="E59">
        <v>23777779</v>
      </c>
      <c r="F59">
        <v>631</v>
      </c>
      <c r="G59">
        <v>23777768</v>
      </c>
      <c r="H59">
        <v>562</v>
      </c>
      <c r="I59">
        <v>23777779</v>
      </c>
      <c r="J59">
        <v>468</v>
      </c>
      <c r="K59">
        <v>23777779</v>
      </c>
      <c r="L59">
        <v>468</v>
      </c>
      <c r="M59">
        <v>23777768</v>
      </c>
      <c r="N59">
        <v>563</v>
      </c>
      <c r="O59">
        <v>13966966</v>
      </c>
    </row>
    <row r="60" spans="2:15" x14ac:dyDescent="0.25">
      <c r="B60">
        <v>1559</v>
      </c>
      <c r="C60">
        <v>27777764</v>
      </c>
      <c r="D60">
        <v>638</v>
      </c>
      <c r="E60">
        <v>23777779</v>
      </c>
      <c r="F60">
        <v>615</v>
      </c>
      <c r="G60">
        <v>23777768</v>
      </c>
      <c r="H60">
        <v>561</v>
      </c>
      <c r="I60">
        <v>23777779</v>
      </c>
      <c r="J60">
        <v>468</v>
      </c>
      <c r="K60">
        <v>23777779</v>
      </c>
      <c r="L60">
        <v>452</v>
      </c>
      <c r="M60">
        <v>23777768</v>
      </c>
      <c r="N60">
        <v>537</v>
      </c>
      <c r="O60">
        <v>13966966</v>
      </c>
    </row>
    <row r="61" spans="2:15" x14ac:dyDescent="0.25">
      <c r="B61">
        <v>1469</v>
      </c>
      <c r="C61">
        <v>27777764</v>
      </c>
      <c r="D61">
        <v>630</v>
      </c>
      <c r="E61">
        <v>23777779</v>
      </c>
      <c r="F61">
        <v>615</v>
      </c>
      <c r="G61">
        <v>23777768</v>
      </c>
      <c r="H61">
        <v>546</v>
      </c>
      <c r="I61">
        <v>23777779</v>
      </c>
      <c r="J61">
        <v>453</v>
      </c>
      <c r="K61">
        <v>23777779</v>
      </c>
      <c r="L61">
        <v>468</v>
      </c>
      <c r="M61">
        <v>23777768</v>
      </c>
      <c r="N61">
        <v>526</v>
      </c>
      <c r="O61">
        <v>13966966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6284</v>
      </c>
      <c r="C65">
        <v>1715</v>
      </c>
      <c r="D65">
        <v>2245</v>
      </c>
      <c r="E65">
        <v>1061</v>
      </c>
      <c r="F65">
        <v>765</v>
      </c>
      <c r="G65">
        <v>811</v>
      </c>
      <c r="H65">
        <v>1354</v>
      </c>
      <c r="I65">
        <v>20</v>
      </c>
      <c r="J65">
        <v>31</v>
      </c>
    </row>
    <row r="66" spans="2:15" x14ac:dyDescent="0.25">
      <c r="B66">
        <v>6269</v>
      </c>
      <c r="C66">
        <v>1694</v>
      </c>
      <c r="D66">
        <v>2220</v>
      </c>
      <c r="E66">
        <v>1108</v>
      </c>
      <c r="F66">
        <v>748</v>
      </c>
      <c r="G66">
        <v>780</v>
      </c>
      <c r="H66">
        <v>1344</v>
      </c>
      <c r="I66">
        <v>20</v>
      </c>
      <c r="J66">
        <v>31</v>
      </c>
    </row>
    <row r="67" spans="2:15" x14ac:dyDescent="0.25">
      <c r="B67">
        <v>6320</v>
      </c>
      <c r="C67">
        <v>1756</v>
      </c>
      <c r="D67">
        <v>2256</v>
      </c>
      <c r="E67">
        <v>1060</v>
      </c>
      <c r="F67">
        <v>764</v>
      </c>
      <c r="G67">
        <v>796</v>
      </c>
      <c r="H67">
        <v>1362</v>
      </c>
      <c r="I67">
        <v>28</v>
      </c>
      <c r="J67">
        <v>31</v>
      </c>
    </row>
    <row r="68" spans="2:15" x14ac:dyDescent="0.25">
      <c r="B68">
        <v>6224</v>
      </c>
      <c r="C68">
        <v>1894</v>
      </c>
      <c r="D68">
        <v>2224</v>
      </c>
      <c r="E68">
        <v>1107</v>
      </c>
      <c r="F68">
        <v>780</v>
      </c>
      <c r="G68">
        <v>795</v>
      </c>
      <c r="H68">
        <v>1385</v>
      </c>
      <c r="I68">
        <v>21</v>
      </c>
      <c r="J68">
        <v>31</v>
      </c>
    </row>
    <row r="69" spans="2:15" x14ac:dyDescent="0.25">
      <c r="B69">
        <v>6730</v>
      </c>
      <c r="C69">
        <v>1721</v>
      </c>
      <c r="D69">
        <v>2189</v>
      </c>
      <c r="E69">
        <v>1217</v>
      </c>
      <c r="F69">
        <v>780</v>
      </c>
      <c r="G69">
        <v>796</v>
      </c>
      <c r="H69">
        <v>1390</v>
      </c>
      <c r="I69">
        <v>22</v>
      </c>
      <c r="J69">
        <v>31</v>
      </c>
    </row>
    <row r="70" spans="2:15" x14ac:dyDescent="0.25">
      <c r="B70">
        <v>6389</v>
      </c>
      <c r="C70">
        <v>1734</v>
      </c>
      <c r="D70">
        <v>2204</v>
      </c>
      <c r="E70">
        <v>1076</v>
      </c>
      <c r="F70">
        <v>780</v>
      </c>
      <c r="G70">
        <v>780</v>
      </c>
      <c r="H70">
        <v>1321</v>
      </c>
      <c r="I70">
        <v>21</v>
      </c>
      <c r="J70">
        <v>32</v>
      </c>
    </row>
    <row r="71" spans="2:15" x14ac:dyDescent="0.25">
      <c r="B71">
        <v>6332</v>
      </c>
      <c r="C71">
        <v>1700</v>
      </c>
      <c r="D71">
        <v>2194</v>
      </c>
      <c r="E71">
        <v>1092</v>
      </c>
      <c r="F71">
        <v>796</v>
      </c>
      <c r="G71">
        <v>780</v>
      </c>
      <c r="H71">
        <v>1371</v>
      </c>
      <c r="I71">
        <v>21</v>
      </c>
      <c r="J71">
        <v>31</v>
      </c>
    </row>
    <row r="72" spans="2:15" x14ac:dyDescent="0.25">
      <c r="B72">
        <v>6307</v>
      </c>
      <c r="C72">
        <v>1734</v>
      </c>
      <c r="D72">
        <v>2223</v>
      </c>
      <c r="E72">
        <v>1123</v>
      </c>
      <c r="F72">
        <v>795</v>
      </c>
      <c r="G72">
        <v>812</v>
      </c>
      <c r="H72">
        <v>1367</v>
      </c>
      <c r="I72">
        <v>20</v>
      </c>
      <c r="J72">
        <v>31</v>
      </c>
    </row>
    <row r="73" spans="2:15" x14ac:dyDescent="0.25">
      <c r="B73">
        <v>7312</v>
      </c>
      <c r="C73">
        <v>1761</v>
      </c>
      <c r="D73">
        <v>2181</v>
      </c>
      <c r="E73">
        <v>1123</v>
      </c>
      <c r="F73">
        <v>764</v>
      </c>
      <c r="G73">
        <v>796</v>
      </c>
      <c r="H73">
        <v>1361</v>
      </c>
      <c r="I73">
        <v>21</v>
      </c>
      <c r="J73">
        <v>31</v>
      </c>
    </row>
    <row r="74" spans="2:15" x14ac:dyDescent="0.25">
      <c r="B74">
        <v>6559</v>
      </c>
      <c r="C74">
        <v>1728</v>
      </c>
      <c r="D74">
        <v>2221</v>
      </c>
      <c r="E74">
        <v>1108</v>
      </c>
      <c r="F74">
        <v>764</v>
      </c>
      <c r="G74">
        <v>811</v>
      </c>
      <c r="H74">
        <v>1385</v>
      </c>
      <c r="I74">
        <v>22</v>
      </c>
      <c r="J74">
        <v>31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62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AVERAGE(Table35[Newtonsoft (duration)])</f>
      </c>
      <c r="D38" s="2" t="e">
        <f>AVERAGE(Table35[.NET baked full (duration)])</f>
      </c>
      <c r="E38" s="2" t="e">
        <f>AVERAGE(Table35[.NET baked minimal (duration)])</f>
      </c>
      <c r="F38" s="2" t="e">
        <f>AVERAGE(Table35[Jackson (duration)])</f>
      </c>
      <c r="G38" s="2" t="e">
        <f>AVERAGE(Table35[JVM baked full (duration)])</f>
      </c>
      <c r="H38" s="2" t="e">
        <f>AVERAGE(Table35[JVM baked minimal (duration)])</f>
      </c>
      <c r="I38" s="2" t="e">
        <f>AVERAGE(Table35[Protobuf.NET (duration)])</f>
      </c>
      <c r="J38" s="2" t="e">
        <f>AVERAGE(Table36[.NET (instance only)])</f>
      </c>
      <c r="K38" s="2" t="e">
        <f>AVERAGE(Table36[JVM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AVERAGE(Table36[Newtonsoft (duration)])</f>
      </c>
      <c r="D40" s="2" t="e">
        <f>AVERAGE(Table36[.NET baked full (duration)])</f>
      </c>
      <c r="E40" s="2" t="e">
        <f>AVERAGE(Table36[.NET baked minimal (duration)])</f>
      </c>
      <c r="F40" s="2" t="e">
        <f>AVERAGE(Table36[Jackson (duration)])</f>
      </c>
      <c r="G40" s="2" t="e">
        <f>AVERAGE(Table36[JVM baked full (duration)])</f>
      </c>
      <c r="H40" s="2" t="e">
        <f>AVERAGE(Table36[JVM baked minimal (duration)])</f>
      </c>
      <c r="I40" s="2" t="e">
        <f>AVERAGE(Table36[Protobuf.NET (duration)])</f>
      </c>
      <c r="J40" s="2"/>
      <c r="K40" s="2"/>
    </row>
    <row r="41" spans="2:11" x14ac:dyDescent="0.25">
      <c r="B41" t="s">
        <v>8</v>
      </c>
      <c r="C41" s="3" t="e">
        <f>AVERAGE(Table35[Newtonsoft (size)])</f>
      </c>
      <c r="D41" s="3" t="e">
        <f>AVERAGE(Table35[.NET baked full (size)])</f>
      </c>
      <c r="E41" s="3" t="e">
        <f>AVERAGE(Table35[.NET baked minimal (size)])</f>
      </c>
      <c r="F41" s="3" t="e">
        <f>AVERAGE(Table35[Jackson (size)])</f>
      </c>
      <c r="G41" s="3" t="e">
        <f>AVERAGE(Table35[JVM baked full (size)])</f>
      </c>
      <c r="H41" s="3" t="e">
        <f>AVERAGE(Table35[JVM baked minimal (size)])</f>
      </c>
      <c r="I41" s="3" t="e">
        <f>AVERAGE(Table35[Protobuf.NET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DEVSQ(Table35[Newtonsoft (duration)])</f>
      </c>
      <c r="D46" s="2" t="e">
        <f>DEVSQ(Table35[.NET baked full (duration)])</f>
      </c>
      <c r="E46" s="2" t="e">
        <f>DEVSQ(Table35[.NET baked minimal (duration)])</f>
      </c>
      <c r="F46" s="2" t="e">
        <f>DEVSQ(Table35[Jackson (duration)])</f>
      </c>
      <c r="G46" s="2" t="e">
        <f>DEVSQ(Table35[JVM baked full (duration)])</f>
      </c>
      <c r="H46" s="2" t="e">
        <f>DEVSQ(Table35[JVM baked minimal (duration)])</f>
      </c>
      <c r="I46" s="2" t="e">
        <f>DEVSQ(Table35[Protobuf.NET (duration)])</f>
      </c>
    </row>
    <row r="47" spans="2:11" x14ac:dyDescent="0.25">
      <c r="B47" t="s">
        <v>1</v>
      </c>
      <c r="C47" s="2" t="e">
        <f>DEVSQ(Table36[Newtonsoft (duration)])</f>
      </c>
      <c r="D47" s="2" t="e">
        <f>DEVSQ(Table36[.NET baked full (duration)])</f>
      </c>
      <c r="E47" s="2" t="e">
        <f>DEVSQ(Table36[.NET baked minimal (duration)])</f>
      </c>
      <c r="F47" s="2" t="e">
        <f>DEVSQ(Table36[Jackson (duration)])</f>
      </c>
      <c r="G47" s="2" t="e">
        <f>DEVSQ(Table36[JVM baked full (duration)])</f>
      </c>
      <c r="H47" s="2" t="e">
        <f>DEVSQ(Table36[JVM baked minimal (duration)])</f>
      </c>
      <c r="I47" s="2" t="e">
        <f>DEVSQ(Table36[Protobuf.NET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14913</v>
      </c>
      <c r="C52">
        <v>297777764</v>
      </c>
      <c r="D52">
        <v>6353</v>
      </c>
      <c r="E52">
        <v>257777779</v>
      </c>
      <c r="F52">
        <v>6433</v>
      </c>
      <c r="G52">
        <v>257777768</v>
      </c>
      <c r="H52">
        <v>4570</v>
      </c>
      <c r="I52">
        <v>257777779</v>
      </c>
      <c r="J52">
        <v>4071</v>
      </c>
      <c r="K52">
        <v>257777779</v>
      </c>
      <c r="L52">
        <v>4088</v>
      </c>
      <c r="M52">
        <v>257777768</v>
      </c>
      <c r="N52">
        <v>5463</v>
      </c>
      <c r="O52">
        <v>155772662</v>
      </c>
    </row>
    <row r="53" spans="2:15" x14ac:dyDescent="0.25">
      <c r="B53">
        <v>14965</v>
      </c>
      <c r="C53">
        <v>297777764</v>
      </c>
      <c r="D53">
        <v>6469</v>
      </c>
      <c r="E53">
        <v>257777779</v>
      </c>
      <c r="F53">
        <v>6542</v>
      </c>
      <c r="G53">
        <v>257777768</v>
      </c>
      <c r="H53">
        <v>4617</v>
      </c>
      <c r="I53">
        <v>257777779</v>
      </c>
      <c r="J53">
        <v>4088</v>
      </c>
      <c r="K53">
        <v>257777779</v>
      </c>
      <c r="L53">
        <v>4103</v>
      </c>
      <c r="M53">
        <v>257777768</v>
      </c>
      <c r="N53">
        <v>5404</v>
      </c>
      <c r="O53">
        <v>155772662</v>
      </c>
    </row>
    <row r="54" spans="2:15" x14ac:dyDescent="0.25">
      <c r="B54">
        <v>14921</v>
      </c>
      <c r="C54">
        <v>297777764</v>
      </c>
      <c r="D54">
        <v>6523</v>
      </c>
      <c r="E54">
        <v>257777779</v>
      </c>
      <c r="F54">
        <v>6457</v>
      </c>
      <c r="G54">
        <v>257777768</v>
      </c>
      <c r="H54">
        <v>4461</v>
      </c>
      <c r="I54">
        <v>257777779</v>
      </c>
      <c r="J54">
        <v>4087</v>
      </c>
      <c r="K54">
        <v>257777779</v>
      </c>
      <c r="L54">
        <v>4212</v>
      </c>
      <c r="M54">
        <v>257777768</v>
      </c>
      <c r="N54">
        <v>5433</v>
      </c>
      <c r="O54">
        <v>155772662</v>
      </c>
    </row>
    <row r="55" spans="2:15" x14ac:dyDescent="0.25">
      <c r="B55">
        <v>18094</v>
      </c>
      <c r="C55">
        <v>297777764</v>
      </c>
      <c r="D55">
        <v>6442</v>
      </c>
      <c r="E55">
        <v>257777779</v>
      </c>
      <c r="F55">
        <v>6413</v>
      </c>
      <c r="G55">
        <v>257777768</v>
      </c>
      <c r="H55">
        <v>4508</v>
      </c>
      <c r="I55">
        <v>257777779</v>
      </c>
      <c r="J55">
        <v>4071</v>
      </c>
      <c r="K55">
        <v>257777779</v>
      </c>
      <c r="L55">
        <v>4071</v>
      </c>
      <c r="M55">
        <v>257777768</v>
      </c>
      <c r="N55">
        <v>5474</v>
      </c>
      <c r="O55">
        <v>155772662</v>
      </c>
    </row>
    <row r="56" spans="2:15" x14ac:dyDescent="0.25">
      <c r="B56">
        <v>14906</v>
      </c>
      <c r="C56">
        <v>297777764</v>
      </c>
      <c r="D56">
        <v>6385</v>
      </c>
      <c r="E56">
        <v>257777779</v>
      </c>
      <c r="F56">
        <v>6386</v>
      </c>
      <c r="G56">
        <v>257777768</v>
      </c>
      <c r="H56">
        <v>4462</v>
      </c>
      <c r="I56">
        <v>257777779</v>
      </c>
      <c r="J56">
        <v>4025</v>
      </c>
      <c r="K56">
        <v>257777779</v>
      </c>
      <c r="L56">
        <v>4165</v>
      </c>
      <c r="M56">
        <v>257777768</v>
      </c>
      <c r="N56">
        <v>5402</v>
      </c>
      <c r="O56">
        <v>155772662</v>
      </c>
    </row>
    <row r="57" spans="2:15" x14ac:dyDescent="0.25">
      <c r="B57">
        <v>15019</v>
      </c>
      <c r="C57">
        <v>297777764</v>
      </c>
      <c r="D57">
        <v>6273</v>
      </c>
      <c r="E57">
        <v>257777779</v>
      </c>
      <c r="F57">
        <v>6404</v>
      </c>
      <c r="G57">
        <v>257777768</v>
      </c>
      <c r="H57">
        <v>4524</v>
      </c>
      <c r="I57">
        <v>257777779</v>
      </c>
      <c r="J57">
        <v>4056</v>
      </c>
      <c r="K57">
        <v>257777779</v>
      </c>
      <c r="L57">
        <v>4056</v>
      </c>
      <c r="M57">
        <v>257777768</v>
      </c>
      <c r="N57">
        <v>5481</v>
      </c>
      <c r="O57">
        <v>155772662</v>
      </c>
    </row>
    <row r="58" spans="2:15" x14ac:dyDescent="0.25">
      <c r="B58">
        <v>15678</v>
      </c>
      <c r="C58">
        <v>297777764</v>
      </c>
      <c r="D58">
        <v>6404</v>
      </c>
      <c r="E58">
        <v>257777779</v>
      </c>
      <c r="F58">
        <v>6291</v>
      </c>
      <c r="G58">
        <v>257777768</v>
      </c>
      <c r="H58">
        <v>4587</v>
      </c>
      <c r="I58">
        <v>257777779</v>
      </c>
      <c r="J58">
        <v>4071</v>
      </c>
      <c r="K58">
        <v>257777779</v>
      </c>
      <c r="L58">
        <v>4071</v>
      </c>
      <c r="M58">
        <v>257777768</v>
      </c>
      <c r="N58">
        <v>5451</v>
      </c>
      <c r="O58">
        <v>155772662</v>
      </c>
    </row>
    <row r="59" spans="2:15" x14ac:dyDescent="0.25">
      <c r="B59">
        <v>17336</v>
      </c>
      <c r="C59">
        <v>297777764</v>
      </c>
      <c r="D59">
        <v>6451</v>
      </c>
      <c r="E59">
        <v>257777779</v>
      </c>
      <c r="F59">
        <v>6356</v>
      </c>
      <c r="G59">
        <v>257777768</v>
      </c>
      <c r="H59">
        <v>4633</v>
      </c>
      <c r="I59">
        <v>257777779</v>
      </c>
      <c r="J59">
        <v>3932</v>
      </c>
      <c r="K59">
        <v>257777779</v>
      </c>
      <c r="L59">
        <v>4040</v>
      </c>
      <c r="M59">
        <v>257777768</v>
      </c>
      <c r="N59">
        <v>5431</v>
      </c>
      <c r="O59">
        <v>155772662</v>
      </c>
    </row>
    <row r="60" spans="2:15" x14ac:dyDescent="0.25">
      <c r="B60">
        <v>14829</v>
      </c>
      <c r="C60">
        <v>297777764</v>
      </c>
      <c r="D60">
        <v>6440</v>
      </c>
      <c r="E60">
        <v>257777779</v>
      </c>
      <c r="F60">
        <v>6420</v>
      </c>
      <c r="G60">
        <v>257777768</v>
      </c>
      <c r="H60">
        <v>4540</v>
      </c>
      <c r="I60">
        <v>257777779</v>
      </c>
      <c r="J60">
        <v>4025</v>
      </c>
      <c r="K60">
        <v>257777779</v>
      </c>
      <c r="L60">
        <v>4009</v>
      </c>
      <c r="M60">
        <v>257777768</v>
      </c>
      <c r="N60">
        <v>5342</v>
      </c>
      <c r="O60">
        <v>155772662</v>
      </c>
    </row>
    <row r="61" spans="2:15" x14ac:dyDescent="0.25">
      <c r="B61">
        <v>15741</v>
      </c>
      <c r="C61">
        <v>297777764</v>
      </c>
      <c r="D61">
        <v>6444</v>
      </c>
      <c r="E61">
        <v>257777779</v>
      </c>
      <c r="F61">
        <v>6381</v>
      </c>
      <c r="G61">
        <v>257777768</v>
      </c>
      <c r="H61">
        <v>4586</v>
      </c>
      <c r="I61">
        <v>257777779</v>
      </c>
      <c r="J61">
        <v>4071</v>
      </c>
      <c r="K61">
        <v>257777779</v>
      </c>
      <c r="L61">
        <v>3993</v>
      </c>
      <c r="M61">
        <v>257777768</v>
      </c>
      <c r="N61">
        <v>5393</v>
      </c>
      <c r="O61">
        <v>155772662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66203</v>
      </c>
      <c r="C65">
        <v>18245</v>
      </c>
      <c r="D65">
        <v>23306</v>
      </c>
      <c r="E65">
        <v>9469</v>
      </c>
      <c r="F65">
        <v>6754</v>
      </c>
      <c r="G65">
        <v>6942</v>
      </c>
      <c r="H65">
        <v>13520</v>
      </c>
      <c r="I65">
        <v>199</v>
      </c>
      <c r="J65">
        <v>218</v>
      </c>
    </row>
    <row r="66" spans="2:15" x14ac:dyDescent="0.25">
      <c r="B66">
        <v>64789</v>
      </c>
      <c r="C66">
        <v>18252</v>
      </c>
      <c r="D66">
        <v>23204</v>
      </c>
      <c r="E66">
        <v>9282</v>
      </c>
      <c r="F66">
        <v>6927</v>
      </c>
      <c r="G66">
        <v>7005</v>
      </c>
      <c r="H66">
        <v>13322</v>
      </c>
      <c r="I66">
        <v>203</v>
      </c>
      <c r="J66">
        <v>202</v>
      </c>
    </row>
    <row r="67" spans="2:15" x14ac:dyDescent="0.25">
      <c r="B67">
        <v>68529</v>
      </c>
      <c r="C67">
        <v>17882</v>
      </c>
      <c r="D67">
        <v>23053</v>
      </c>
      <c r="E67">
        <v>9375</v>
      </c>
      <c r="F67">
        <v>6723</v>
      </c>
      <c r="G67">
        <v>6677</v>
      </c>
      <c r="H67">
        <v>13481</v>
      </c>
      <c r="I67">
        <v>209</v>
      </c>
      <c r="J67">
        <v>203</v>
      </c>
    </row>
    <row r="68" spans="2:15" x14ac:dyDescent="0.25">
      <c r="B68">
        <v>62590</v>
      </c>
      <c r="C68">
        <v>17871</v>
      </c>
      <c r="D68">
        <v>22752</v>
      </c>
      <c r="E68">
        <v>9392</v>
      </c>
      <c r="F68">
        <v>6739</v>
      </c>
      <c r="G68">
        <v>6974</v>
      </c>
      <c r="H68">
        <v>13515</v>
      </c>
      <c r="I68">
        <v>195</v>
      </c>
      <c r="J68">
        <v>203</v>
      </c>
    </row>
    <row r="69" spans="2:15" x14ac:dyDescent="0.25">
      <c r="B69">
        <v>62698</v>
      </c>
      <c r="C69">
        <v>18115</v>
      </c>
      <c r="D69">
        <v>22813</v>
      </c>
      <c r="E69">
        <v>9625</v>
      </c>
      <c r="F69">
        <v>6880</v>
      </c>
      <c r="G69">
        <v>6724</v>
      </c>
      <c r="H69">
        <v>13450</v>
      </c>
      <c r="I69">
        <v>200</v>
      </c>
      <c r="J69">
        <v>203</v>
      </c>
    </row>
    <row r="70" spans="2:15" x14ac:dyDescent="0.25">
      <c r="B70">
        <v>64613</v>
      </c>
      <c r="C70">
        <v>18346</v>
      </c>
      <c r="D70">
        <v>23357</v>
      </c>
      <c r="E70">
        <v>9688</v>
      </c>
      <c r="F70">
        <v>6739</v>
      </c>
      <c r="G70">
        <v>6724</v>
      </c>
      <c r="H70">
        <v>13317</v>
      </c>
      <c r="I70">
        <v>211</v>
      </c>
      <c r="J70">
        <v>202</v>
      </c>
    </row>
    <row r="71" spans="2:15" x14ac:dyDescent="0.25">
      <c r="B71">
        <v>65160</v>
      </c>
      <c r="C71">
        <v>18038</v>
      </c>
      <c r="D71">
        <v>23284</v>
      </c>
      <c r="E71">
        <v>9422</v>
      </c>
      <c r="F71">
        <v>6676</v>
      </c>
      <c r="G71">
        <v>6802</v>
      </c>
      <c r="H71">
        <v>13514</v>
      </c>
      <c r="I71">
        <v>205</v>
      </c>
      <c r="J71">
        <v>203</v>
      </c>
    </row>
    <row r="72" spans="2:15" x14ac:dyDescent="0.25">
      <c r="B72">
        <v>65337</v>
      </c>
      <c r="C72">
        <v>18106</v>
      </c>
      <c r="D72">
        <v>22539</v>
      </c>
      <c r="E72">
        <v>9298</v>
      </c>
      <c r="F72">
        <v>6818</v>
      </c>
      <c r="G72">
        <v>6801</v>
      </c>
      <c r="H72">
        <v>13373</v>
      </c>
      <c r="I72">
        <v>197</v>
      </c>
      <c r="J72">
        <v>203</v>
      </c>
    </row>
    <row r="73" spans="2:15" x14ac:dyDescent="0.25">
      <c r="B73">
        <v>64036</v>
      </c>
      <c r="C73">
        <v>18124</v>
      </c>
      <c r="D73">
        <v>22713</v>
      </c>
      <c r="E73">
        <v>9173</v>
      </c>
      <c r="F73">
        <v>6692</v>
      </c>
      <c r="G73">
        <v>6818</v>
      </c>
      <c r="H73">
        <v>13476</v>
      </c>
      <c r="I73">
        <v>212</v>
      </c>
      <c r="J73">
        <v>219</v>
      </c>
    </row>
    <row r="74" spans="2:15" x14ac:dyDescent="0.25">
      <c r="B74">
        <v>60979</v>
      </c>
      <c r="C74">
        <v>17927</v>
      </c>
      <c r="D74">
        <v>23009</v>
      </c>
      <c r="E74">
        <v>9360</v>
      </c>
      <c r="F74">
        <v>6724</v>
      </c>
      <c r="G74">
        <v>6911</v>
      </c>
      <c r="H74">
        <v>13362</v>
      </c>
      <c r="I74">
        <v>217</v>
      </c>
      <c r="J74">
        <v>219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63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AVERAGE(Table39[Newtonsoft (duration)])</f>
      </c>
      <c r="D38" s="2" t="e">
        <f>AVERAGE(Table39[.NET baked full (duration)])</f>
      </c>
      <c r="E38" s="2" t="e">
        <f>AVERAGE(Table39[.NET baked minimal (duration)])</f>
      </c>
      <c r="F38" s="2" t="e">
        <f>AVERAGE(Table39[Jackson (duration)])</f>
      </c>
      <c r="G38" s="2" t="e">
        <f>AVERAGE(Table39[JVM baked full (duration)])</f>
      </c>
      <c r="H38" s="2" t="e">
        <f>AVERAGE(Table39[JVM baked minimal (duration)])</f>
      </c>
      <c r="I38" s="2" t="e">
        <f>AVERAGE(Table39[Protobuf.NET (duration)])</f>
      </c>
      <c r="J38" s="2" t="e">
        <f>AVERAGE(Table40[.NET (instance only)])</f>
      </c>
      <c r="K38" s="2" t="e">
        <f>AVERAGE(Table40[JVM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AVERAGE(Table40[Newtonsoft (duration)])</f>
      </c>
      <c r="D40" s="2" t="e">
        <f>AVERAGE(Table40[.NET baked full (duration)])</f>
      </c>
      <c r="E40" s="2" t="e">
        <f>AVERAGE(Table40[.NET baked minimal (duration)])</f>
      </c>
      <c r="F40" s="2" t="e">
        <f>AVERAGE(Table40[Jackson (duration)])</f>
      </c>
      <c r="G40" s="2" t="e">
        <f>AVERAGE(Table40[JVM baked full (duration)])</f>
      </c>
      <c r="H40" s="2" t="e">
        <f>AVERAGE(Table40[JVM baked minimal (duration)])</f>
      </c>
      <c r="I40" s="2" t="e">
        <f>AVERAGE(Table40[Protobuf.NET (duration)])</f>
      </c>
      <c r="J40" s="2"/>
      <c r="K40" s="2"/>
    </row>
    <row r="41" spans="2:11" x14ac:dyDescent="0.25">
      <c r="B41" t="s">
        <v>8</v>
      </c>
      <c r="C41" s="3" t="e">
        <f>AVERAGE(Table39[Newtonsoft (size)])</f>
      </c>
      <c r="D41" s="3" t="e">
        <f>AVERAGE(Table39[.NET baked full (size)])</f>
      </c>
      <c r="E41" s="3" t="e">
        <f>AVERAGE(Table39[.NET baked minimal (size)])</f>
      </c>
      <c r="F41" s="3" t="e">
        <f>AVERAGE(Table39[Jackson (size)])</f>
      </c>
      <c r="G41" s="3" t="e">
        <f>AVERAGE(Table39[JVM baked full (size)])</f>
      </c>
      <c r="H41" s="3" t="e">
        <f>AVERAGE(Table39[JVM baked minimal (size)])</f>
      </c>
      <c r="I41" s="3" t="e">
        <f>AVERAGE(Table39[Protobuf.NET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DEVSQ(Table39[Newtonsoft (duration)])</f>
      </c>
      <c r="D46" s="2" t="e">
        <f>DEVSQ(Table39[.NET baked full (duration)])</f>
      </c>
      <c r="E46" s="2" t="e">
        <f>DEVSQ(Table39[.NET baked minimal (duration)])</f>
      </c>
      <c r="F46" s="2" t="e">
        <f>DEVSQ(Table39[Jackson (duration)])</f>
      </c>
      <c r="G46" s="2" t="e">
        <f>DEVSQ(Table39[JVM baked full (duration)])</f>
      </c>
      <c r="H46" s="2" t="e">
        <f>DEVSQ(Table39[JVM baked minimal (duration)])</f>
      </c>
      <c r="I46" s="2" t="e">
        <f>DEVSQ(Table39[Protobuf.NET (duration)])</f>
      </c>
    </row>
    <row r="47" spans="2:11" x14ac:dyDescent="0.25">
      <c r="B47" t="s">
        <v>1</v>
      </c>
      <c r="C47" s="2" t="e">
        <f>DEVSQ(Table40[Newtonsoft (duration)])</f>
      </c>
      <c r="D47" s="2" t="e">
        <f>DEVSQ(Table40[.NET baked full (duration)])</f>
      </c>
      <c r="E47" s="2" t="e">
        <f>DEVSQ(Table40[.NET baked minimal (duration)])</f>
      </c>
      <c r="F47" s="2" t="e">
        <f>DEVSQ(Table40[Jackson (duration)])</f>
      </c>
      <c r="G47" s="2" t="e">
        <f>DEVSQ(Table40[JVM baked full (duration)])</f>
      </c>
      <c r="H47" s="2" t="e">
        <f>DEVSQ(Table40[JVM baked minimal (duration)])</f>
      </c>
      <c r="I47" s="2" t="e">
        <f>DEVSQ(Table40[Protobuf.NET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>
        <v>489</v>
      </c>
      <c r="C52">
        <v>12850253</v>
      </c>
      <c r="D52">
        <v>247</v>
      </c>
      <c r="E52">
        <v>11350256</v>
      </c>
      <c r="F52">
        <v>247</v>
      </c>
      <c r="G52">
        <v>11350256</v>
      </c>
      <c r="H52">
        <v>468</v>
      </c>
      <c r="I52">
        <v>11026020</v>
      </c>
      <c r="J52">
        <v>406</v>
      </c>
      <c r="K52">
        <v>11025951</v>
      </c>
      <c r="L52">
        <v>390</v>
      </c>
      <c r="M52">
        <v>10325957</v>
      </c>
      <c r="N52">
        <v>215</v>
      </c>
      <c r="O52">
        <v>7061361</v>
      </c>
    </row>
    <row r="53" spans="2:15" x14ac:dyDescent="0.25">
      <c r="B53">
        <v>517</v>
      </c>
      <c r="C53">
        <v>12850253</v>
      </c>
      <c r="D53">
        <v>240</v>
      </c>
      <c r="E53">
        <v>11350256</v>
      </c>
      <c r="F53">
        <v>244</v>
      </c>
      <c r="G53">
        <v>11350256</v>
      </c>
      <c r="H53">
        <v>468</v>
      </c>
      <c r="I53">
        <v>11026023</v>
      </c>
      <c r="J53">
        <v>437</v>
      </c>
      <c r="K53">
        <v>11025958</v>
      </c>
      <c r="L53">
        <v>390</v>
      </c>
      <c r="M53">
        <v>10325954</v>
      </c>
      <c r="N53">
        <v>220</v>
      </c>
      <c r="O53">
        <v>7061361</v>
      </c>
    </row>
    <row r="54" spans="2:15" x14ac:dyDescent="0.25">
      <c r="B54">
        <v>495</v>
      </c>
      <c r="C54">
        <v>12850253</v>
      </c>
      <c r="D54">
        <v>243</v>
      </c>
      <c r="E54">
        <v>11350256</v>
      </c>
      <c r="F54">
        <v>241</v>
      </c>
      <c r="G54">
        <v>11350256</v>
      </c>
      <c r="H54">
        <v>484</v>
      </c>
      <c r="I54">
        <v>11026017</v>
      </c>
      <c r="J54">
        <v>390</v>
      </c>
      <c r="K54">
        <v>11025955</v>
      </c>
      <c r="L54">
        <v>375</v>
      </c>
      <c r="M54">
        <v>10325957</v>
      </c>
      <c r="N54">
        <v>210</v>
      </c>
      <c r="O54">
        <v>7061361</v>
      </c>
    </row>
    <row r="55" spans="2:15" x14ac:dyDescent="0.25">
      <c r="B55">
        <v>515</v>
      </c>
      <c r="C55">
        <v>12850253</v>
      </c>
      <c r="D55">
        <v>250</v>
      </c>
      <c r="E55">
        <v>11350256</v>
      </c>
      <c r="F55">
        <v>249</v>
      </c>
      <c r="G55">
        <v>11350256</v>
      </c>
      <c r="H55">
        <v>468</v>
      </c>
      <c r="I55">
        <v>11026019</v>
      </c>
      <c r="J55">
        <v>390</v>
      </c>
      <c r="K55">
        <v>11025957</v>
      </c>
      <c r="L55">
        <v>374</v>
      </c>
      <c r="M55">
        <v>10325951</v>
      </c>
      <c r="N55">
        <v>212</v>
      </c>
      <c r="O55">
        <v>7061361</v>
      </c>
    </row>
    <row r="56" spans="2:15" x14ac:dyDescent="0.25">
      <c r="B56">
        <v>506</v>
      </c>
      <c r="C56">
        <v>12850253</v>
      </c>
      <c r="D56">
        <v>251</v>
      </c>
      <c r="E56">
        <v>11350256</v>
      </c>
      <c r="F56">
        <v>240</v>
      </c>
      <c r="G56">
        <v>11350256</v>
      </c>
      <c r="H56">
        <v>468</v>
      </c>
      <c r="I56">
        <v>11026020</v>
      </c>
      <c r="J56">
        <v>390</v>
      </c>
      <c r="K56">
        <v>11025953</v>
      </c>
      <c r="L56">
        <v>390</v>
      </c>
      <c r="M56">
        <v>10325955</v>
      </c>
      <c r="N56">
        <v>218</v>
      </c>
      <c r="O56">
        <v>7061361</v>
      </c>
    </row>
    <row r="57" spans="2:15" x14ac:dyDescent="0.25">
      <c r="B57">
        <v>504</v>
      </c>
      <c r="C57">
        <v>12850253</v>
      </c>
      <c r="D57">
        <v>239</v>
      </c>
      <c r="E57">
        <v>11350256</v>
      </c>
      <c r="F57">
        <v>233</v>
      </c>
      <c r="G57">
        <v>11350256</v>
      </c>
      <c r="H57">
        <v>468</v>
      </c>
      <c r="I57">
        <v>11026022</v>
      </c>
      <c r="J57">
        <v>390</v>
      </c>
      <c r="K57">
        <v>11025953</v>
      </c>
      <c r="L57">
        <v>390</v>
      </c>
      <c r="M57">
        <v>10325954</v>
      </c>
      <c r="N57">
        <v>230</v>
      </c>
      <c r="O57">
        <v>7061361</v>
      </c>
    </row>
    <row r="58" spans="2:15" x14ac:dyDescent="0.25">
      <c r="B58">
        <v>503</v>
      </c>
      <c r="C58">
        <v>12850253</v>
      </c>
      <c r="D58">
        <v>247</v>
      </c>
      <c r="E58">
        <v>11350256</v>
      </c>
      <c r="F58">
        <v>245</v>
      </c>
      <c r="G58">
        <v>11350256</v>
      </c>
      <c r="H58">
        <v>453</v>
      </c>
      <c r="I58">
        <v>11026019</v>
      </c>
      <c r="J58">
        <v>390</v>
      </c>
      <c r="K58">
        <v>11025958</v>
      </c>
      <c r="L58">
        <v>375</v>
      </c>
      <c r="M58">
        <v>10325957</v>
      </c>
      <c r="N58">
        <v>211</v>
      </c>
      <c r="O58">
        <v>7061361</v>
      </c>
    </row>
    <row r="59" spans="2:15" x14ac:dyDescent="0.25">
      <c r="B59">
        <v>503</v>
      </c>
      <c r="C59">
        <v>12850253</v>
      </c>
      <c r="D59">
        <v>254</v>
      </c>
      <c r="E59">
        <v>11350256</v>
      </c>
      <c r="F59">
        <v>245</v>
      </c>
      <c r="G59">
        <v>11350256</v>
      </c>
      <c r="H59">
        <v>452</v>
      </c>
      <c r="I59">
        <v>11026020</v>
      </c>
      <c r="J59">
        <v>390</v>
      </c>
      <c r="K59">
        <v>11025957</v>
      </c>
      <c r="L59">
        <v>390</v>
      </c>
      <c r="M59">
        <v>10325953</v>
      </c>
      <c r="N59">
        <v>214</v>
      </c>
      <c r="O59">
        <v>7061361</v>
      </c>
    </row>
    <row r="60" spans="2:15" x14ac:dyDescent="0.25">
      <c r="B60">
        <v>499</v>
      </c>
      <c r="C60">
        <v>12850253</v>
      </c>
      <c r="D60">
        <v>250</v>
      </c>
      <c r="E60">
        <v>11350256</v>
      </c>
      <c r="F60">
        <v>240</v>
      </c>
      <c r="G60">
        <v>11350256</v>
      </c>
      <c r="H60">
        <v>468</v>
      </c>
      <c r="I60">
        <v>11026017</v>
      </c>
      <c r="J60">
        <v>421</v>
      </c>
      <c r="K60">
        <v>11025950</v>
      </c>
      <c r="L60">
        <v>374</v>
      </c>
      <c r="M60">
        <v>10325957</v>
      </c>
      <c r="N60">
        <v>212</v>
      </c>
      <c r="O60">
        <v>7061361</v>
      </c>
    </row>
    <row r="61" spans="2:15" x14ac:dyDescent="0.25">
      <c r="B61">
        <v>514</v>
      </c>
      <c r="C61">
        <v>12850253</v>
      </c>
      <c r="D61">
        <v>244</v>
      </c>
      <c r="E61">
        <v>11350256</v>
      </c>
      <c r="F61">
        <v>251</v>
      </c>
      <c r="G61">
        <v>11350256</v>
      </c>
      <c r="H61">
        <v>468</v>
      </c>
      <c r="I61">
        <v>11026020</v>
      </c>
      <c r="J61">
        <v>390</v>
      </c>
      <c r="K61">
        <v>11025955</v>
      </c>
      <c r="L61">
        <v>390</v>
      </c>
      <c r="M61">
        <v>10325955</v>
      </c>
      <c r="N61">
        <v>219</v>
      </c>
      <c r="O61">
        <v>7061361</v>
      </c>
    </row>
    <row r="63" spans="2:15" x14ac:dyDescent="0.25">
      <c r="B63" s="1" t="s">
        <v>7</v>
      </c>
    </row>
    <row r="64" spans="2:15" x14ac:dyDescent="0.25">
      <c r="B64" t="s">
        <v>9</v>
      </c>
      <c r="C64" t="s">
        <v>17</v>
      </c>
      <c r="D64" t="s">
        <v>19</v>
      </c>
      <c r="E64" t="s">
        <v>21</v>
      </c>
      <c r="F64" t="s">
        <v>23</v>
      </c>
      <c r="G64" t="s">
        <v>25</v>
      </c>
      <c r="H64" t="s">
        <v>27</v>
      </c>
      <c r="I64" t="s">
        <v>51</v>
      </c>
      <c r="J64" t="s">
        <v>52</v>
      </c>
    </row>
    <row r="65" spans="2:15" x14ac:dyDescent="0.25">
      <c r="B65">
        <v>1535</v>
      </c>
      <c r="C65">
        <v>397</v>
      </c>
      <c r="D65">
        <v>457</v>
      </c>
      <c r="E65">
        <v>1139</v>
      </c>
      <c r="F65">
        <v>671</v>
      </c>
      <c r="G65">
        <v>702</v>
      </c>
      <c r="H65">
        <v>468</v>
      </c>
      <c r="I65">
        <v>134</v>
      </c>
      <c r="J65">
        <v>187</v>
      </c>
    </row>
    <row r="66" spans="2:15" x14ac:dyDescent="0.25">
      <c r="B66">
        <v>1457</v>
      </c>
      <c r="C66">
        <v>399</v>
      </c>
      <c r="D66">
        <v>467</v>
      </c>
      <c r="E66">
        <v>1123</v>
      </c>
      <c r="F66">
        <v>702</v>
      </c>
      <c r="G66">
        <v>702</v>
      </c>
      <c r="H66">
        <v>482</v>
      </c>
      <c r="I66">
        <v>134</v>
      </c>
      <c r="J66">
        <v>203</v>
      </c>
    </row>
    <row r="67" spans="2:15" x14ac:dyDescent="0.25">
      <c r="B67">
        <v>1507</v>
      </c>
      <c r="C67">
        <v>399</v>
      </c>
      <c r="D67">
        <v>468</v>
      </c>
      <c r="E67">
        <v>1170</v>
      </c>
      <c r="F67">
        <v>702</v>
      </c>
      <c r="G67">
        <v>702</v>
      </c>
      <c r="H67">
        <v>481</v>
      </c>
      <c r="I67">
        <v>137</v>
      </c>
      <c r="J67">
        <v>187</v>
      </c>
    </row>
    <row r="68" spans="2:15" x14ac:dyDescent="0.25">
      <c r="B68">
        <v>1494</v>
      </c>
      <c r="C68">
        <v>405</v>
      </c>
      <c r="D68">
        <v>455</v>
      </c>
      <c r="E68">
        <v>1139</v>
      </c>
      <c r="F68">
        <v>686</v>
      </c>
      <c r="G68">
        <v>686</v>
      </c>
      <c r="H68">
        <v>474</v>
      </c>
      <c r="I68">
        <v>131</v>
      </c>
      <c r="J68">
        <v>187</v>
      </c>
    </row>
    <row r="69" spans="2:15" x14ac:dyDescent="0.25">
      <c r="B69">
        <v>1608</v>
      </c>
      <c r="C69">
        <v>401</v>
      </c>
      <c r="D69">
        <v>480</v>
      </c>
      <c r="E69">
        <v>1108</v>
      </c>
      <c r="F69">
        <v>686</v>
      </c>
      <c r="G69">
        <v>702</v>
      </c>
      <c r="H69">
        <v>468</v>
      </c>
      <c r="I69">
        <v>135</v>
      </c>
      <c r="J69">
        <v>187</v>
      </c>
    </row>
    <row r="70" spans="2:15" x14ac:dyDescent="0.25">
      <c r="B70">
        <v>1588</v>
      </c>
      <c r="C70">
        <v>397</v>
      </c>
      <c r="D70">
        <v>450</v>
      </c>
      <c r="E70">
        <v>1139</v>
      </c>
      <c r="F70">
        <v>687</v>
      </c>
      <c r="G70">
        <v>655</v>
      </c>
      <c r="H70">
        <v>478</v>
      </c>
      <c r="I70">
        <v>134</v>
      </c>
      <c r="J70">
        <v>202</v>
      </c>
    </row>
    <row r="71" spans="2:15" x14ac:dyDescent="0.25">
      <c r="B71">
        <v>1401</v>
      </c>
      <c r="C71">
        <v>388</v>
      </c>
      <c r="D71">
        <v>457</v>
      </c>
      <c r="E71">
        <v>1123</v>
      </c>
      <c r="F71">
        <v>702</v>
      </c>
      <c r="G71">
        <v>671</v>
      </c>
      <c r="H71">
        <v>467</v>
      </c>
      <c r="I71">
        <v>135</v>
      </c>
      <c r="J71">
        <v>187</v>
      </c>
    </row>
    <row r="72" spans="2:15" x14ac:dyDescent="0.25">
      <c r="B72">
        <v>1452</v>
      </c>
      <c r="C72">
        <v>405</v>
      </c>
      <c r="D72">
        <v>464</v>
      </c>
      <c r="E72">
        <v>1108</v>
      </c>
      <c r="F72">
        <v>702</v>
      </c>
      <c r="G72">
        <v>670</v>
      </c>
      <c r="H72">
        <v>475</v>
      </c>
      <c r="I72">
        <v>134</v>
      </c>
      <c r="J72">
        <v>203</v>
      </c>
    </row>
    <row r="73" spans="2:15" x14ac:dyDescent="0.25">
      <c r="B73">
        <v>1498</v>
      </c>
      <c r="C73">
        <v>394</v>
      </c>
      <c r="D73">
        <v>477</v>
      </c>
      <c r="E73">
        <v>1107</v>
      </c>
      <c r="F73">
        <v>702</v>
      </c>
      <c r="G73">
        <v>780</v>
      </c>
      <c r="H73">
        <v>484</v>
      </c>
      <c r="I73">
        <v>137</v>
      </c>
      <c r="J73">
        <v>203</v>
      </c>
    </row>
    <row r="74" spans="2:15" x14ac:dyDescent="0.25">
      <c r="B74">
        <v>1500</v>
      </c>
      <c r="C74">
        <v>403</v>
      </c>
      <c r="D74">
        <v>461</v>
      </c>
      <c r="E74">
        <v>1123</v>
      </c>
      <c r="F74">
        <v>717</v>
      </c>
      <c r="G74">
        <v>686</v>
      </c>
      <c r="H74">
        <v>478</v>
      </c>
      <c r="I74">
        <v>137</v>
      </c>
      <c r="J74">
        <v>187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2014-11-24T22:09:55Z</dcterms:modified>
</cp:coreProperties>
</file>