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tartup times" sheetId="1" r:id="rId1"/>
    <sheet name="Small events" sheetId="5" r:id="rId2"/>
    <sheet name="Small values" sheetId="6" r:id="rId3"/>
    <sheet name="Small aggregates" sheetId="12" r:id="rId4"/>
    <sheet name="Standard events" sheetId="13" r:id="rId5"/>
    <sheet name="Standard aggregates" sheetId="14" r:id="rId6"/>
    <sheet name="Large aggregates" sheetId="15" r:id="rId7"/>
  </sheets>
  <calcPr calcId="145621"/>
</workbook>
</file>

<file path=xl/calcChain.xml><?xml version="1.0" encoding="utf-8"?>
<calcChain xmlns="http://schemas.openxmlformats.org/spreadsheetml/2006/main">
  <c r="K14" i="15" l="1"/>
  <c r="J14" i="15"/>
  <c r="I14" i="15"/>
  <c r="H14" i="15"/>
  <c r="G14" i="15"/>
  <c r="K13" i="15"/>
  <c r="J13" i="15"/>
  <c r="I13" i="15"/>
  <c r="H13" i="15"/>
  <c r="G13" i="15"/>
  <c r="K9" i="15"/>
  <c r="J9" i="15"/>
  <c r="I9" i="15"/>
  <c r="H9" i="15"/>
  <c r="G9" i="15"/>
  <c r="K8" i="15"/>
  <c r="J8" i="15"/>
  <c r="I8" i="15"/>
  <c r="H8" i="15"/>
  <c r="G8" i="15"/>
  <c r="K7" i="15"/>
  <c r="J7" i="15"/>
  <c r="I7" i="15"/>
  <c r="G7" i="15"/>
  <c r="K5" i="15"/>
  <c r="J5" i="15"/>
  <c r="I5" i="15"/>
  <c r="H5" i="15"/>
  <c r="G5" i="15"/>
  <c r="K14" i="14"/>
  <c r="J14" i="14"/>
  <c r="I14" i="14"/>
  <c r="H14" i="14"/>
  <c r="G14" i="14"/>
  <c r="K13" i="14"/>
  <c r="J13" i="14"/>
  <c r="I13" i="14"/>
  <c r="H13" i="14"/>
  <c r="G13" i="14"/>
  <c r="K9" i="14"/>
  <c r="J9" i="14"/>
  <c r="I9" i="14"/>
  <c r="G9" i="14"/>
  <c r="K8" i="14"/>
  <c r="J8" i="14"/>
  <c r="I8" i="14"/>
  <c r="H8" i="14"/>
  <c r="G8" i="14"/>
  <c r="K7" i="14"/>
  <c r="J7" i="14"/>
  <c r="J6" i="14" s="1"/>
  <c r="I7" i="14"/>
  <c r="G7" i="14"/>
  <c r="K5" i="14"/>
  <c r="J5" i="14"/>
  <c r="I5" i="14"/>
  <c r="G5" i="14"/>
  <c r="K14" i="13"/>
  <c r="J14" i="13"/>
  <c r="I14" i="13"/>
  <c r="H14" i="13"/>
  <c r="G14" i="13"/>
  <c r="K13" i="13"/>
  <c r="J13" i="13"/>
  <c r="I13" i="13"/>
  <c r="H13" i="13"/>
  <c r="G13" i="13"/>
  <c r="K9" i="13"/>
  <c r="J9" i="13"/>
  <c r="I9" i="13"/>
  <c r="H9" i="13"/>
  <c r="G9" i="13"/>
  <c r="K8" i="13"/>
  <c r="J8" i="13"/>
  <c r="I8" i="13"/>
  <c r="H8" i="13"/>
  <c r="G8" i="13"/>
  <c r="K7" i="13"/>
  <c r="J7" i="13"/>
  <c r="I7" i="13"/>
  <c r="H7" i="13"/>
  <c r="G7" i="13"/>
  <c r="G6" i="13" s="1"/>
  <c r="K5" i="13"/>
  <c r="J5" i="13"/>
  <c r="I5" i="13"/>
  <c r="H5" i="13"/>
  <c r="G5" i="13"/>
  <c r="K14" i="12"/>
  <c r="J14" i="12"/>
  <c r="I14" i="12"/>
  <c r="H14" i="12"/>
  <c r="G14" i="12"/>
  <c r="K13" i="12"/>
  <c r="J13" i="12"/>
  <c r="I13" i="12"/>
  <c r="H13" i="12"/>
  <c r="G13" i="12"/>
  <c r="K9" i="12"/>
  <c r="J9" i="12"/>
  <c r="I9" i="12"/>
  <c r="H9" i="12"/>
  <c r="G9" i="12"/>
  <c r="K8" i="12"/>
  <c r="J8" i="12"/>
  <c r="I8" i="12"/>
  <c r="H8" i="12"/>
  <c r="G8" i="12"/>
  <c r="K7" i="12"/>
  <c r="J7" i="12"/>
  <c r="I7" i="12"/>
  <c r="H7" i="12"/>
  <c r="G7" i="12"/>
  <c r="K5" i="12"/>
  <c r="J5" i="12"/>
  <c r="I5" i="12"/>
  <c r="H5" i="12"/>
  <c r="G5" i="12"/>
  <c r="K14" i="6"/>
  <c r="J14" i="6"/>
  <c r="I14" i="6"/>
  <c r="H14" i="6"/>
  <c r="G14" i="6"/>
  <c r="K13" i="6"/>
  <c r="J13" i="6"/>
  <c r="I13" i="6"/>
  <c r="H13" i="6"/>
  <c r="G13" i="6"/>
  <c r="K14" i="5"/>
  <c r="K13" i="5"/>
  <c r="J14" i="5"/>
  <c r="J13" i="5"/>
  <c r="I14" i="5"/>
  <c r="I13" i="5"/>
  <c r="H14" i="5"/>
  <c r="H13" i="5"/>
  <c r="G14" i="5"/>
  <c r="G13" i="5"/>
  <c r="K9" i="6"/>
  <c r="K8" i="6"/>
  <c r="K7" i="6"/>
  <c r="K5" i="6"/>
  <c r="J9" i="6"/>
  <c r="J8" i="6"/>
  <c r="J7" i="6"/>
  <c r="J5" i="6"/>
  <c r="I9" i="6"/>
  <c r="I8" i="6"/>
  <c r="I7" i="6"/>
  <c r="I5" i="6"/>
  <c r="H9" i="6"/>
  <c r="H8" i="6"/>
  <c r="H7" i="6"/>
  <c r="H5" i="6"/>
  <c r="G9" i="6"/>
  <c r="G8" i="6"/>
  <c r="G7" i="6"/>
  <c r="G5" i="6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5" i="5"/>
  <c r="J5" i="5"/>
  <c r="I5" i="5"/>
  <c r="H5" i="5"/>
  <c r="G5" i="5"/>
  <c r="J6" i="13" l="1"/>
  <c r="K6" i="15"/>
  <c r="G6" i="15"/>
  <c r="J6" i="15"/>
  <c r="I6" i="15"/>
  <c r="K6" i="14"/>
  <c r="I6" i="14"/>
  <c r="G6" i="14"/>
  <c r="K6" i="13"/>
  <c r="I6" i="13"/>
  <c r="H6" i="13"/>
  <c r="K6" i="12"/>
  <c r="J6" i="12"/>
  <c r="I6" i="12"/>
  <c r="G6" i="12"/>
  <c r="H6" i="12"/>
  <c r="K6" i="6"/>
  <c r="J6" i="6"/>
  <c r="I6" i="6"/>
  <c r="H6" i="6"/>
  <c r="G6" i="6"/>
  <c r="K8" i="1"/>
  <c r="J8" i="1"/>
  <c r="I8" i="1"/>
  <c r="H8" i="1"/>
  <c r="G8" i="1"/>
  <c r="K9" i="1"/>
  <c r="J9" i="1"/>
  <c r="I9" i="1"/>
  <c r="H9" i="1"/>
  <c r="G9" i="1"/>
  <c r="I6" i="5" l="1"/>
  <c r="K6" i="5"/>
  <c r="J6" i="5"/>
  <c r="H6" i="5"/>
  <c r="G6" i="5"/>
  <c r="H14" i="1"/>
  <c r="I14" i="1"/>
  <c r="J14" i="1"/>
  <c r="K14" i="1"/>
  <c r="G14" i="1"/>
  <c r="H13" i="1"/>
  <c r="I13" i="1"/>
  <c r="J13" i="1"/>
  <c r="K13" i="1"/>
  <c r="G13" i="1"/>
  <c r="H7" i="1"/>
  <c r="I7" i="1"/>
  <c r="J7" i="1"/>
  <c r="K7" i="1"/>
  <c r="G7" i="1"/>
  <c r="H5" i="1"/>
  <c r="I5" i="1"/>
  <c r="J5" i="1"/>
  <c r="K5" i="1"/>
  <c r="G5" i="1"/>
  <c r="K6" i="1" l="1"/>
  <c r="J6" i="1"/>
  <c r="I6" i="1"/>
  <c r="H6" i="1"/>
  <c r="G6" i="1"/>
</calcChain>
</file>

<file path=xl/sharedStrings.xml><?xml version="1.0" encoding="utf-8"?>
<sst xmlns="http://schemas.openxmlformats.org/spreadsheetml/2006/main" count="329" uniqueCount="36">
  <si>
    <t>Jil</t>
  </si>
  <si>
    <t>Revenj.Json</t>
  </si>
  <si>
    <t>Revenj.Protobuf</t>
  </si>
  <si>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</si>
  <si>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</si>
  <si>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</si>
  <si>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</si>
  <si>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</si>
  <si>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</si>
  <si>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</si>
  <si>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</si>
  <si>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Testing 1 serialization/deserialization</t>
  </si>
  <si>
    <t>Testing 100.000 serialization/deserializations for simple event data structure</t>
  </si>
  <si>
    <t>Testing 100.000 serialization/deserializations for simple value data structure</t>
  </si>
  <si>
    <t>Testing 100.000 serialization/deserializations for simple aggregate root structure</t>
  </si>
  <si>
    <t>Testing 10.000 serialization/deserializations for non-trivial event data structure</t>
  </si>
  <si>
    <t>Testing 10.000 serialization/deserializations for non-trivial aggregate root structure</t>
  </si>
  <si>
    <t>Testing 100 serialization/deserializations for large aggregate root structure</t>
  </si>
  <si>
    <t>Service stack</t>
  </si>
  <si>
    <t>Errors</t>
  </si>
  <si>
    <t>Size</t>
  </si>
  <si>
    <t>Newtonsoft (duration)</t>
  </si>
  <si>
    <t>Newtonsoft (size)</t>
  </si>
  <si>
    <t>Newtonsoft (errors)</t>
  </si>
  <si>
    <t>Protobuf (duration)</t>
  </si>
  <si>
    <t>Protobuf (size)</t>
  </si>
  <si>
    <t>Protobuf (errors)</t>
  </si>
  <si>
    <t>Jil (duration)</t>
  </si>
  <si>
    <t>Jil (size)</t>
  </si>
  <si>
    <t>Jil (errors)</t>
  </si>
  <si>
    <t>Service stack (size)</t>
  </si>
  <si>
    <t>Service stack (duration)</t>
  </si>
  <si>
    <t>Service stack (errors)</t>
  </si>
  <si>
    <t>Revenj.Json (duration)</t>
  </si>
  <si>
    <t>Revenj.Json (size)</t>
  </si>
  <si>
    <t>Revenj.Json (errors)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</si>
</sst>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70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'Startup times'!$F$5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times'!$G$5:$K$5</c:f>
              <c:numCache>
                <c:formatCode>#,##0.0</c:formatCode>
                <c:ptCount val="5"/>
                <c:pt idx="0">
                  <c:v>114.4</c:v>
                </c:pt>
                <c:pt idx="1">
                  <c:v>261.39999999999998</c:v>
                </c:pt>
                <c:pt idx="2">
                  <c:v>72.400000000000006</c:v>
                </c:pt>
                <c:pt idx="3">
                  <c:v>9.3000000000000007</c:v>
                </c:pt>
                <c:pt idx="4">
                  <c:v>56</c:v>
                </c:pt>
              </c:numCache>
            </c:numRef>
          </c:val>
        </c:ser>
        <c:ser>
          <c:idx val="1"/>
          <c:order val="1"/>
          <c:tx>
            <c:strRef>
              <c:f>'Startup times'!$F$6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times'!$G$6:$K$6</c:f>
              <c:numCache>
                <c:formatCode>#,##0.0</c:formatCode>
                <c:ptCount val="5"/>
                <c:pt idx="0">
                  <c:v>43.599999999999994</c:v>
                </c:pt>
                <c:pt idx="1">
                  <c:v>84.800000000000011</c:v>
                </c:pt>
                <c:pt idx="2">
                  <c:v>33</c:v>
                </c:pt>
                <c:pt idx="3">
                  <c:v>7.1999999999999993</c:v>
                </c:pt>
                <c:pt idx="4">
                  <c:v>7.2000000000000028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21184"/>
        <c:axId val="139422720"/>
        <c:axId val="0"/>
      </c:bar3DChart>
      <c:catAx>
        <c:axId val="1394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22720"/>
        <c:crosses val="autoZero"/>
        <c:auto val="1"/>
        <c:lblAlgn val="ctr"/>
        <c:lblOffset val="100"/>
        <c:noMultiLvlLbl val="0"/>
      </c:catAx>
      <c:valAx>
        <c:axId val="13942272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394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aggregates'!$G$5:$K$5</c:f>
              <c:numCache>
                <c:formatCode>#,##0.0</c:formatCode>
                <c:ptCount val="5"/>
                <c:pt idx="0">
                  <c:v>903.2</c:v>
                </c:pt>
                <c:pt idx="1">
                  <c:v>637.9</c:v>
                </c:pt>
                <c:pt idx="2">
                  <c:v>420.7</c:v>
                </c:pt>
                <c:pt idx="3">
                  <c:v>467.3</c:v>
                </c:pt>
                <c:pt idx="4">
                  <c:v>327.3</c:v>
                </c:pt>
              </c:numCache>
            </c:numRef>
          </c:val>
        </c:ser>
        <c:ser>
          <c:idx val="1"/>
          <c:order val="1"/>
          <c:tx>
            <c:strRef>
              <c:f>'Small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aggregates'!$G$6:$K$6</c:f>
              <c:numCache>
                <c:formatCode>#,##0.0</c:formatCode>
                <c:ptCount val="5"/>
                <c:pt idx="0">
                  <c:v>1151.9999999999998</c:v>
                </c:pt>
                <c:pt idx="1">
                  <c:v>473.30000000000007</c:v>
                </c:pt>
                <c:pt idx="2">
                  <c:v>280.40000000000003</c:v>
                </c:pt>
                <c:pt idx="3">
                  <c:v>236.8</c:v>
                </c:pt>
                <c:pt idx="4">
                  <c:v>303.90000000000003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26816"/>
        <c:axId val="148228352"/>
        <c:axId val="0"/>
      </c:bar3DChart>
      <c:catAx>
        <c:axId val="14822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28352"/>
        <c:crosses val="autoZero"/>
        <c:auto val="1"/>
        <c:lblAlgn val="ctr"/>
        <c:lblOffset val="100"/>
        <c:noMultiLvlLbl val="0"/>
      </c:catAx>
      <c:valAx>
        <c:axId val="1482283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22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'Small aggregates'!$F$8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aggregates'!$G$8:$K$8</c:f>
              <c:numCache>
                <c:formatCode>#,##0.0</c:formatCode>
                <c:ptCount val="5"/>
                <c:pt idx="0">
                  <c:v>0</c:v>
                </c:pt>
                <c:pt idx="1">
                  <c:v>100000</c:v>
                </c:pt>
                <c:pt idx="2">
                  <c:v>100000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40640"/>
        <c:axId val="148262912"/>
        <c:axId val="148516352"/>
      </c:bar3DChart>
      <c:catAx>
        <c:axId val="14824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62912"/>
        <c:crosses val="autoZero"/>
        <c:auto val="1"/>
        <c:lblAlgn val="ctr"/>
        <c:lblOffset val="100"/>
        <c:noMultiLvlLbl val="0"/>
      </c:catAx>
      <c:valAx>
        <c:axId val="14826291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240640"/>
        <c:crosses val="autoZero"/>
        <c:crossBetween val="between"/>
      </c:valAx>
      <c:serAx>
        <c:axId val="14851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629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aggregates'!$F$9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aggregates'!$G$9:$K$9</c:f>
              <c:numCache>
                <c:formatCode>#,##0.0</c:formatCode>
                <c:ptCount val="5"/>
                <c:pt idx="0">
                  <c:v>129</c:v>
                </c:pt>
                <c:pt idx="1">
                  <c:v>128</c:v>
                </c:pt>
                <c:pt idx="2">
                  <c:v>14</c:v>
                </c:pt>
                <c:pt idx="3">
                  <c:v>115</c:v>
                </c:pt>
                <c:pt idx="4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88640"/>
        <c:axId val="148290176"/>
      </c:lineChart>
      <c:catAx>
        <c:axId val="14828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90176"/>
        <c:crosses val="autoZero"/>
        <c:auto val="1"/>
        <c:lblAlgn val="ctr"/>
        <c:lblOffset val="100"/>
        <c:noMultiLvlLbl val="0"/>
      </c:catAx>
      <c:valAx>
        <c:axId val="14829017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28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events'!$G$5:$K$5</c:f>
              <c:numCache>
                <c:formatCode>#,##0.0</c:formatCode>
                <c:ptCount val="5"/>
                <c:pt idx="0">
                  <c:v>4922</c:v>
                </c:pt>
                <c:pt idx="1">
                  <c:v>-1</c:v>
                </c:pt>
                <c:pt idx="2">
                  <c:v>879.1</c:v>
                </c:pt>
                <c:pt idx="3">
                  <c:v>2952.8</c:v>
                </c:pt>
                <c:pt idx="4">
                  <c:v>1263.8</c:v>
                </c:pt>
              </c:numCache>
            </c:numRef>
          </c:val>
        </c:ser>
        <c:ser>
          <c:idx val="1"/>
          <c:order val="1"/>
          <c:tx>
            <c:strRef>
              <c:f>'Standard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events'!$G$6:$K$6</c:f>
              <c:numCache>
                <c:formatCode>#,##0.0</c:formatCode>
                <c:ptCount val="5"/>
                <c:pt idx="0">
                  <c:v>5908.6</c:v>
                </c:pt>
                <c:pt idx="1">
                  <c:v>0</c:v>
                </c:pt>
                <c:pt idx="2">
                  <c:v>108.5</c:v>
                </c:pt>
                <c:pt idx="3">
                  <c:v>2301.1999999999998</c:v>
                </c:pt>
                <c:pt idx="4">
                  <c:v>1260.7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58176"/>
        <c:axId val="149859712"/>
        <c:axId val="0"/>
      </c:bar3DChart>
      <c:catAx>
        <c:axId val="14985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59712"/>
        <c:crosses val="autoZero"/>
        <c:auto val="1"/>
        <c:lblAlgn val="ctr"/>
        <c:lblOffset val="100"/>
        <c:noMultiLvlLbl val="0"/>
      </c:catAx>
      <c:valAx>
        <c:axId val="14985971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85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'Standard events'!$F$8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events'!$G$8:$K$8</c:f>
              <c:numCache>
                <c:formatCode>#,##0.0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72000"/>
        <c:axId val="149763200"/>
        <c:axId val="148270144"/>
      </c:bar3DChart>
      <c:catAx>
        <c:axId val="14987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63200"/>
        <c:crosses val="autoZero"/>
        <c:auto val="1"/>
        <c:lblAlgn val="ctr"/>
        <c:lblOffset val="100"/>
        <c:noMultiLvlLbl val="0"/>
      </c:catAx>
      <c:valAx>
        <c:axId val="1497632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872000"/>
        <c:crosses val="autoZero"/>
        <c:crossBetween val="between"/>
      </c:valAx>
      <c:serAx>
        <c:axId val="1482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632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events'!$F$9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events'!$G$9:$K$9</c:f>
              <c:numCache>
                <c:formatCode>#,##0.0</c:formatCode>
                <c:ptCount val="5"/>
                <c:pt idx="0">
                  <c:v>16892</c:v>
                </c:pt>
                <c:pt idx="1">
                  <c:v>-1</c:v>
                </c:pt>
                <c:pt idx="2">
                  <c:v>34</c:v>
                </c:pt>
                <c:pt idx="3">
                  <c:v>16815.8</c:v>
                </c:pt>
                <c:pt idx="4">
                  <c:v>7259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4832"/>
        <c:axId val="149843968"/>
      </c:lineChart>
      <c:catAx>
        <c:axId val="1497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843968"/>
        <c:crosses val="autoZero"/>
        <c:auto val="1"/>
        <c:lblAlgn val="ctr"/>
        <c:lblOffset val="100"/>
        <c:noMultiLvlLbl val="0"/>
      </c:catAx>
      <c:valAx>
        <c:axId val="149843968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7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'Standard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aggregates'!$G$5:$K$5</c:f>
              <c:numCache>
                <c:formatCode>#,##0.0</c:formatCode>
                <c:ptCount val="5"/>
                <c:pt idx="0">
                  <c:v>5823.5</c:v>
                </c:pt>
                <c:pt idx="1">
                  <c:v>0</c:v>
                </c:pt>
                <c:pt idx="2">
                  <c:v>1112.5999999999999</c:v>
                </c:pt>
                <c:pt idx="3">
                  <c:v>4765.1000000000004</c:v>
                </c:pt>
                <c:pt idx="4">
                  <c:v>1566</c:v>
                </c:pt>
              </c:numCache>
            </c:numRef>
          </c:val>
        </c:ser>
        <c:ser>
          <c:idx val="1"/>
          <c:order val="1"/>
          <c:tx>
            <c:strRef>
              <c:f>'Standard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'Standard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aggregates'!$G$6:$K$6</c:f>
              <c:numCache>
                <c:formatCode>#,##0.0</c:formatCode>
                <c:ptCount val="5"/>
                <c:pt idx="0">
                  <c:v>8002.5</c:v>
                </c:pt>
                <c:pt idx="1">
                  <c:v>0</c:v>
                </c:pt>
                <c:pt idx="2">
                  <c:v>52.600000000000136</c:v>
                </c:pt>
                <c:pt idx="3">
                  <c:v>3210.2999999999993</c:v>
                </c:pt>
                <c:pt idx="4">
                  <c:v>1417.8000000000002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105664"/>
        <c:axId val="149111552"/>
        <c:axId val="0"/>
      </c:bar3DChart>
      <c:catAx>
        <c:axId val="14910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11552"/>
        <c:crosses val="autoZero"/>
        <c:auto val="1"/>
        <c:lblAlgn val="ctr"/>
        <c:lblOffset val="100"/>
        <c:noMultiLvlLbl val="0"/>
      </c:catAx>
      <c:valAx>
        <c:axId val="149111552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1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'Standard events'!$F$8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events'!$G$8:$K$8</c:f>
              <c:numCache>
                <c:formatCode>#,##0.0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10000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144320"/>
        <c:axId val="149145856"/>
        <c:axId val="149772928"/>
      </c:bar3DChart>
      <c:catAx>
        <c:axId val="1491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45856"/>
        <c:crosses val="autoZero"/>
        <c:auto val="1"/>
        <c:lblAlgn val="ctr"/>
        <c:lblOffset val="100"/>
        <c:noMultiLvlLbl val="0"/>
      </c:catAx>
      <c:valAx>
        <c:axId val="1491458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144320"/>
        <c:crosses val="autoZero"/>
        <c:crossBetween val="between"/>
      </c:valAx>
      <c:serAx>
        <c:axId val="1497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458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'Standard events'!$F$9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'Standard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'Standard events'!$G$9:$K$9</c:f>
              <c:numCache>
                <c:formatCode>#,##0.0</c:formatCode>
                <c:ptCount val="5"/>
                <c:pt idx="0">
                  <c:v>16892</c:v>
                </c:pt>
                <c:pt idx="1">
                  <c:v>-1</c:v>
                </c:pt>
                <c:pt idx="2">
                  <c:v>34</c:v>
                </c:pt>
                <c:pt idx="3">
                  <c:v>16815.8</c:v>
                </c:pt>
                <c:pt idx="4">
                  <c:v>7259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9296"/>
        <c:axId val="149046400"/>
      </c:lineChart>
      <c:catAx>
        <c:axId val="1491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046400"/>
        <c:crosses val="autoZero"/>
        <c:auto val="1"/>
        <c:lblAlgn val="ctr"/>
        <c:lblOffset val="100"/>
        <c:noMultiLvlLbl val="0"/>
      </c:catAx>
      <c:valAx>
        <c:axId val="1490464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91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'Large aggregates'!$F$5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aggregates'!$G$5:$K$5</c:f>
              <c:numCache>
                <c:formatCode>#,##0.0</c:formatCode>
                <c:ptCount val="5"/>
                <c:pt idx="0">
                  <c:v>5523.6</c:v>
                </c:pt>
                <c:pt idx="1">
                  <c:v>34852.1</c:v>
                </c:pt>
                <c:pt idx="2">
                  <c:v>753.8</c:v>
                </c:pt>
                <c:pt idx="3">
                  <c:v>4250.8999999999996</c:v>
                </c:pt>
                <c:pt idx="4">
                  <c:v>1308</c:v>
                </c:pt>
              </c:numCache>
            </c:numRef>
          </c:val>
        </c:ser>
        <c:ser>
          <c:idx val="1"/>
          <c:order val="1"/>
          <c:tx>
            <c:strRef>
              <c:f>'Large aggregates'!$F$6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aggregates'!$G$6:$K$6</c:f>
              <c:numCache>
                <c:formatCode>#,##0.0</c:formatCode>
                <c:ptCount val="5"/>
                <c:pt idx="0">
                  <c:v>12952.800000000001</c:v>
                </c:pt>
                <c:pt idx="1">
                  <c:v>0</c:v>
                </c:pt>
                <c:pt idx="2">
                  <c:v>15.300000000000068</c:v>
                </c:pt>
                <c:pt idx="3">
                  <c:v>11654.1</c:v>
                </c:pt>
                <c:pt idx="4">
                  <c:v>2152.4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483328"/>
        <c:axId val="150484864"/>
        <c:axId val="0"/>
      </c:bar3DChart>
      <c:catAx>
        <c:axId val="1504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84864"/>
        <c:crosses val="autoZero"/>
        <c:auto val="1"/>
        <c:lblAlgn val="ctr"/>
        <c:lblOffset val="100"/>
        <c:noMultiLvlLbl val="0"/>
      </c:catAx>
      <c:valAx>
        <c:axId val="1504848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4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'Startup times'!$F$8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39104"/>
        <c:axId val="139457280"/>
        <c:axId val="90694080"/>
      </c:bar3DChart>
      <c:catAx>
        <c:axId val="1394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57280"/>
        <c:crosses val="autoZero"/>
        <c:auto val="1"/>
        <c:lblAlgn val="ctr"/>
        <c:lblOffset val="100"/>
        <c:noMultiLvlLbl val="0"/>
      </c:catAx>
      <c:valAx>
        <c:axId val="13945728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39439104"/>
        <c:crosses val="autoZero"/>
        <c:crossBetween val="between"/>
      </c:valAx>
      <c:serAx>
        <c:axId val="906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572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'Large aggregates'!$F$8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aggregates'!$G$8:$K$8</c:f>
              <c:numCache>
                <c:formatCode>#,##0.0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501248"/>
        <c:axId val="150502784"/>
        <c:axId val="149153984"/>
      </c:bar3DChart>
      <c:catAx>
        <c:axId val="1505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02784"/>
        <c:crosses val="autoZero"/>
        <c:auto val="1"/>
        <c:lblAlgn val="ctr"/>
        <c:lblOffset val="100"/>
        <c:noMultiLvlLbl val="0"/>
      </c:catAx>
      <c:valAx>
        <c:axId val="1505027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501248"/>
        <c:crosses val="autoZero"/>
        <c:crossBetween val="between"/>
      </c:valAx>
      <c:serAx>
        <c:axId val="149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027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'Large aggregates'!$F$9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'Large aggregates'!$G$4:$K$4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'Large aggregates'!$G$9:$K$9</c:f>
              <c:numCache>
                <c:formatCode>#,##0.0</c:formatCode>
                <c:ptCount val="5"/>
                <c:pt idx="0">
                  <c:v>58132004.100000001</c:v>
                </c:pt>
                <c:pt idx="1">
                  <c:v>152758992</c:v>
                </c:pt>
                <c:pt idx="2">
                  <c:v>14</c:v>
                </c:pt>
                <c:pt idx="3">
                  <c:v>58004722</c:v>
                </c:pt>
                <c:pt idx="4">
                  <c:v>43068894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2864"/>
        <c:axId val="150534400"/>
      </c:lineChart>
      <c:catAx>
        <c:axId val="15053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34400"/>
        <c:crosses val="autoZero"/>
        <c:auto val="1"/>
        <c:lblAlgn val="ctr"/>
        <c:lblOffset val="100"/>
        <c:noMultiLvlLbl val="0"/>
      </c:catAx>
      <c:valAx>
        <c:axId val="1505344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5053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times'!$F$9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times'!$G$9:$K$9</c:f>
              <c:numCache>
                <c:formatCode>#,##0.0</c:formatCode>
                <c:ptCount val="5"/>
                <c:pt idx="0">
                  <c:v>97</c:v>
                </c:pt>
                <c:pt idx="1">
                  <c:v>103</c:v>
                </c:pt>
                <c:pt idx="2">
                  <c:v>34</c:v>
                </c:pt>
                <c:pt idx="3">
                  <c:v>78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64224"/>
        <c:axId val="139365760"/>
      </c:lineChart>
      <c:catAx>
        <c:axId val="13936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9365760"/>
        <c:crosses val="autoZero"/>
        <c:auto val="1"/>
        <c:lblAlgn val="ctr"/>
        <c:lblOffset val="100"/>
        <c:noMultiLvlLbl val="0"/>
      </c:catAx>
      <c:valAx>
        <c:axId val="13936576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3936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events'!$F$5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events'!$G$5:$K$5</c:f>
              <c:numCache>
                <c:formatCode>#,##0.0</c:formatCode>
                <c:ptCount val="5"/>
                <c:pt idx="0">
                  <c:v>482.8</c:v>
                </c:pt>
                <c:pt idx="1">
                  <c:v>644</c:v>
                </c:pt>
                <c:pt idx="2">
                  <c:v>379</c:v>
                </c:pt>
                <c:pt idx="3">
                  <c:v>309.39999999999998</c:v>
                </c:pt>
                <c:pt idx="4">
                  <c:v>161.5</c:v>
                </c:pt>
              </c:numCache>
            </c:numRef>
          </c:val>
        </c:ser>
        <c:ser>
          <c:idx val="1"/>
          <c:order val="1"/>
          <c:tx>
            <c:strRef>
              <c:f>'Small events'!$F$6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events'!$G$4:$K$4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events'!$G$6:$K$6</c:f>
              <c:numCache>
                <c:formatCode>#,##0.0</c:formatCode>
                <c:ptCount val="5"/>
                <c:pt idx="0">
                  <c:v>793</c:v>
                </c:pt>
                <c:pt idx="1">
                  <c:v>390.70000000000005</c:v>
                </c:pt>
                <c:pt idx="2">
                  <c:v>539.6</c:v>
                </c:pt>
                <c:pt idx="3">
                  <c:v>420.5</c:v>
                </c:pt>
                <c:pt idx="4">
                  <c:v>157.39999999999998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791232"/>
        <c:axId val="103797120"/>
        <c:axId val="0"/>
      </c:bar3DChart>
      <c:catAx>
        <c:axId val="10379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797120"/>
        <c:crosses val="autoZero"/>
        <c:auto val="1"/>
        <c:lblAlgn val="ctr"/>
        <c:lblOffset val="100"/>
        <c:noMultiLvlLbl val="0"/>
      </c:catAx>
      <c:valAx>
        <c:axId val="10379712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379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'Startup times'!$F$8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815424"/>
        <c:axId val="103833600"/>
        <c:axId val="139354560"/>
      </c:bar3DChart>
      <c:catAx>
        <c:axId val="1038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3600"/>
        <c:crosses val="autoZero"/>
        <c:auto val="1"/>
        <c:lblAlgn val="ctr"/>
        <c:lblOffset val="100"/>
        <c:noMultiLvlLbl val="0"/>
      </c:catAx>
      <c:valAx>
        <c:axId val="10383360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3815424"/>
        <c:crosses val="autoZero"/>
        <c:crossBetween val="between"/>
      </c:valAx>
      <c:serAx>
        <c:axId val="1393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33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'Startup times'!$F$9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'Startup times'!$G$4:$K$4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'Startup times'!$G$9:$K$9</c:f>
              <c:numCache>
                <c:formatCode>#,##0.0</c:formatCode>
                <c:ptCount val="5"/>
                <c:pt idx="0">
                  <c:v>97</c:v>
                </c:pt>
                <c:pt idx="1">
                  <c:v>103</c:v>
                </c:pt>
                <c:pt idx="2">
                  <c:v>34</c:v>
                </c:pt>
                <c:pt idx="3">
                  <c:v>78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59328"/>
        <c:axId val="103860864"/>
      </c:lineChart>
      <c:catAx>
        <c:axId val="1038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860864"/>
        <c:crosses val="autoZero"/>
        <c:auto val="1"/>
        <c:lblAlgn val="ctr"/>
        <c:lblOffset val="100"/>
        <c:noMultiLvlLbl val="0"/>
      </c:catAx>
      <c:valAx>
        <c:axId val="10386086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385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'Small values'!$F$5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values'!$G$5:$K$5</c:f>
              <c:numCache>
                <c:formatCode>#,##0.0</c:formatCode>
                <c:ptCount val="5"/>
                <c:pt idx="0">
                  <c:v>312.7</c:v>
                </c:pt>
                <c:pt idx="1">
                  <c:v>218.5</c:v>
                </c:pt>
                <c:pt idx="2">
                  <c:v>114.9</c:v>
                </c:pt>
                <c:pt idx="3">
                  <c:v>161.1</c:v>
                </c:pt>
                <c:pt idx="4">
                  <c:v>61.6</c:v>
                </c:pt>
              </c:numCache>
            </c:numRef>
          </c:val>
        </c:ser>
        <c:ser>
          <c:idx val="1"/>
          <c:order val="1"/>
          <c:tx>
            <c:strRef>
              <c:f>'Small values'!$F$6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values'!$G$6:$K$6</c:f>
              <c:numCache>
                <c:formatCode>#,##0.0</c:formatCode>
                <c:ptCount val="5"/>
                <c:pt idx="0">
                  <c:v>758.59999999999991</c:v>
                </c:pt>
                <c:pt idx="1">
                  <c:v>269.10000000000002</c:v>
                </c:pt>
                <c:pt idx="2">
                  <c:v>94.199999999999989</c:v>
                </c:pt>
                <c:pt idx="3">
                  <c:v>175.70000000000002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473344"/>
        <c:axId val="148474880"/>
        <c:axId val="0"/>
      </c:bar3DChart>
      <c:catAx>
        <c:axId val="14847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74880"/>
        <c:crosses val="autoZero"/>
        <c:auto val="1"/>
        <c:lblAlgn val="ctr"/>
        <c:lblOffset val="100"/>
        <c:noMultiLvlLbl val="0"/>
      </c:catAx>
      <c:valAx>
        <c:axId val="14847488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47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'Small values'!$F$8</c:f>
              <c:strCache>
                <c:ptCount val="1"/>
                <c:pt idx="0">
                  <c:v>Errors</c:v>
                </c:pt>
              </c:strCache>
            </c:strRef>
          </c:tx>
          <c:invertIfNegative val="0"/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values'!$G$8:$K$8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491264"/>
        <c:axId val="148509440"/>
        <c:axId val="148512768"/>
      </c:bar3DChart>
      <c:catAx>
        <c:axId val="1484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09440"/>
        <c:crosses val="autoZero"/>
        <c:auto val="1"/>
        <c:lblAlgn val="ctr"/>
        <c:lblOffset val="100"/>
        <c:noMultiLvlLbl val="0"/>
      </c:catAx>
      <c:valAx>
        <c:axId val="148509440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491264"/>
        <c:crosses val="autoZero"/>
        <c:crossBetween val="between"/>
      </c:valAx>
      <c:serAx>
        <c:axId val="14851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0944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values'!$F$9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'Small values'!$G$4:$K$4</c:f>
              <c:strCache>
                <c:ptCount val="5"/>
                <c:pt idx="0">
                  <c:v>Newtonsoft.Json</c:v>
                </c:pt>
                <c:pt idx="1">
                  <c:v>Jil</c:v>
                </c:pt>
                <c:pt idx="2">
                  <c:v>Service stack</c:v>
                </c:pt>
                <c:pt idx="3">
                  <c:v>Revenj.Json</c:v>
                </c:pt>
                <c:pt idx="4">
                  <c:v>Revenj.Protobuf</c:v>
                </c:pt>
              </c:strCache>
            </c:strRef>
          </c:cat>
          <c:val>
            <c:numRef>
              <c:f>'Small values'!$G$9:$K$9</c:f>
              <c:numCache>
                <c:formatCode>#,##0.0</c:formatCode>
                <c:ptCount val="5"/>
                <c:pt idx="0">
                  <c:v>26</c:v>
                </c:pt>
                <c:pt idx="1">
                  <c:v>22</c:v>
                </c:pt>
                <c:pt idx="2">
                  <c:v>2</c:v>
                </c:pt>
                <c:pt idx="3">
                  <c:v>22</c:v>
                </c:pt>
                <c:pt idx="4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3248"/>
        <c:axId val="148534784"/>
      </c:lineChart>
      <c:catAx>
        <c:axId val="1485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8534784"/>
        <c:crosses val="autoZero"/>
        <c:auto val="1"/>
        <c:lblAlgn val="ctr"/>
        <c:lblOffset val="100"/>
        <c:noMultiLvlLbl val="0"/>
      </c:catAx>
      <c:valAx>
        <c:axId val="1485347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4853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18</xdr:row>
      <xdr:rowOff>14288</xdr:rowOff>
    </xdr:from>
    <xdr:to>
      <xdr:col>4</xdr:col>
      <xdr:colOff>381001</xdr:colOff>
      <xdr:row>30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18</xdr:row>
      <xdr:rowOff>38099</xdr:rowOff>
    </xdr:from>
    <xdr:to>
      <xdr:col>9</xdr:col>
      <xdr:colOff>142875</xdr:colOff>
      <xdr:row>30</xdr:row>
      <xdr:rowOff>166686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17</xdr:row>
      <xdr:rowOff>180975</xdr:rowOff>
    </xdr:from>
    <xdr:to>
      <xdr:col>4</xdr:col>
      <xdr:colOff>438151</xdr:colOff>
      <xdr:row>30</xdr:row>
      <xdr:rowOff>138113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18</xdr:row>
      <xdr:rowOff>14286</xdr:rowOff>
    </xdr:from>
    <xdr:to>
      <xdr:col>9</xdr:col>
      <xdr:colOff>171450</xdr:colOff>
      <xdr:row>30</xdr:row>
      <xdr:rowOff>142873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18</xdr:row>
      <xdr:rowOff>23811</xdr:rowOff>
    </xdr:from>
    <xdr:to>
      <xdr:col>7</xdr:col>
      <xdr:colOff>952500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18</xdr:row>
      <xdr:rowOff>23811</xdr:rowOff>
    </xdr:from>
    <xdr:to>
      <xdr:col>9</xdr:col>
      <xdr:colOff>0</xdr:colOff>
      <xdr:row>30</xdr:row>
      <xdr:rowOff>152398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18</xdr:row>
      <xdr:rowOff>4761</xdr:rowOff>
    </xdr:from>
    <xdr:to>
      <xdr:col>7</xdr:col>
      <xdr:colOff>962025</xdr:colOff>
      <xdr:row>30</xdr:row>
      <xdr:rowOff>133348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0</xdr:row>
      <xdr:rowOff>100012</xdr:rowOff>
    </xdr:from>
    <xdr:to>
      <xdr:col>4</xdr:col>
      <xdr:colOff>1019174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4</xdr:col>
      <xdr:colOff>409576</xdr:colOff>
      <xdr:row>30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18</xdr:row>
      <xdr:rowOff>4761</xdr:rowOff>
    </xdr:from>
    <xdr:to>
      <xdr:col>7</xdr:col>
      <xdr:colOff>942975</xdr:colOff>
      <xdr:row>30</xdr:row>
      <xdr:rowOff>133348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tartupSerialization" displayName="StartupSerialization" ref="B34:P44">
  <autoFilter ref="B34:P44"/>
  <tableColumns count="15">
    <tableColumn id="2" name="Newtonsoft (duration)" totalsRowFunction="custom">
      <totalsRowFormula>AVERAGE(StartupSerialization[Newtonsoft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AVERAGE(StartupSerialization[Jil (duration)])</totalsRowFormula>
    </tableColumn>
    <tableColumn id="9" name="Jil (size)"/>
    <tableColumn id="8" name="Jil (errors)"/>
    <tableColumn id="4" name="Service stack (duration)" totalsRowFunction="custom">
      <totalsRowFormula>AVERAGE(StartupSerialization[Service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AVERAGE(StartupSerialization[Revenj.Json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AVERAGE(StartupSerialization[Protobuf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811513" displayName="Table811513" ref="F12:K14" totalsRowShown="0">
  <autoFilter ref="F12:K14"/>
  <tableColumns count="6">
    <tableColumn id="1" name="Deviation"/>
    <tableColumn id="2" name="Newtonsoft.Json" dataDxfId="44">
      <calculatedColumnFormula>AVERAGE(#REF!)</calculatedColumnFormula>
    </tableColumn>
    <tableColumn id="3" name="Jil" dataDxfId="43"/>
    <tableColumn id="4" name="Service stack" dataDxfId="42"/>
    <tableColumn id="5" name="Revenj.Json" dataDxfId="41"/>
    <tableColumn id="6" name="Revenj.Protobuf" dataDxfId="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SmallValuesSerialization" displayName="SmallValuesSerialization" ref="B34:P44">
  <autoFilter ref="B34:P44"/>
  <tableColumns count="15">
    <tableColumn id="2" name="Newtonsoft (duration)" totalsRowFunction="custom">
      <totalsRowFormula>AVERAGE(SmallValuesSerialization[Newtonsoft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AVERAGE(SmallValuesSerialization[Jil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AVERAGE(SmallValuesSerialization[Service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AVERAGE(SmallValuesSerialization[Revenj.Json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AVERAGE(SmallValuesSerialization[Protobuf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SmallValuesBoth" displayName="SmallValue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3" name="Table841234" displayName="Table841234" ref="F4:K9" totalsRowShown="0">
  <autoFilter ref="F4:K9"/>
  <tableColumns count="6">
    <tableColumn id="1" name="Average"/>
    <tableColumn id="2" name="Newtonsoft.Json" dataDxfId="39"/>
    <tableColumn id="3" name="Jil" dataDxfId="38"/>
    <tableColumn id="4" name="Service stack" dataDxfId="37"/>
    <tableColumn id="5" name="Revenj.Json" dataDxfId="36"/>
    <tableColumn id="6" name="Revenj.Protobuf" dataDxfId="3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4" name="Table81151335" displayName="Table81151335" ref="F12:K14" totalsRowShown="0">
  <autoFilter ref="F12:K14"/>
  <tableColumns count="6">
    <tableColumn id="1" name="Deviation"/>
    <tableColumn id="2" name="Newtonsoft.Json" dataDxfId="34">
      <calculatedColumnFormula>AVERAGE(#REF!)</calculatedColumnFormula>
    </tableColumn>
    <tableColumn id="3" name="Jil" dataDxfId="33"/>
    <tableColumn id="4" name="Service stack" dataDxfId="32"/>
    <tableColumn id="5" name="Revenj.Json" dataDxfId="31"/>
    <tableColumn id="6" name="Revenj.Protobuf" dataDxfId="3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3" name="SmallAggregatesSerialization" displayName="SmallAggregatesSerialization" ref="B34:P44">
  <autoFilter ref="B34:P44"/>
  <tableColumns count="15">
    <tableColumn id="2" name="Newtonsoft (duration)" totalsRowFunction="custom">
      <totalsRowFormula>AVERAGE(SmallAggregatesSerialization[Newtonsoft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4" name="SmallAggregatesBoth" displayName="SmallAggregate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5" name="Table84123446" displayName="Table84123446" ref="F4:K9" totalsRowShown="0">
  <autoFilter ref="F4:K9"/>
  <tableColumns count="6">
    <tableColumn id="1" name="Average"/>
    <tableColumn id="2" name="Newtonsoft.Json" dataDxfId="29"/>
    <tableColumn id="3" name="Jil" dataDxfId="28"/>
    <tableColumn id="4" name="Service stack" dataDxfId="27"/>
    <tableColumn id="5" name="Revenj.Json" dataDxfId="26"/>
    <tableColumn id="6" name="Revenj.Protobuf" dataDxfId="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6" name="Table8115133547" displayName="Table8115133547" ref="F12:K14" totalsRowShown="0">
  <autoFilter ref="F12:K14"/>
  <tableColumns count="6">
    <tableColumn id="1" name="Deviation"/>
    <tableColumn id="2" name="Newtonsoft.Json" dataDxfId="24">
      <calculatedColumnFormula>AVERAGE(#REF!)</calculatedColumnFormula>
    </tableColumn>
    <tableColumn id="3" name="Jil" dataDxfId="23"/>
    <tableColumn id="4" name="Service stack" dataDxfId="22"/>
    <tableColumn id="5" name="Revenj.Json" dataDxfId="21"/>
    <tableColumn id="6" name="Revenj.Protobuf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7" name="StandardEventsSerialization" displayName="StandardEventsSerialization" ref="B34:P44">
  <autoFilter ref="B34:P44"/>
  <tableColumns count="15">
    <tableColumn id="2" name="Newtonsoft (duration)" totalsRowFunction="custom">
      <totalsRowFormula>AVERAGE(StandardEventsSerialization[Newtonsoft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AVERAGE(StandardEventsSerialization[Jil (duration)])</totalsRowFormula>
    </tableColumn>
    <tableColumn id="9" name="Jil (size)"/>
    <tableColumn id="8" name="Jil (errors)"/>
    <tableColumn id="4" name="Service stack (duration)" totalsRowFunction="custom">
      <totalsRowFormula>AVERAGE(StandardEventsSerialization[Service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AVERAGE(StandardEventsSerialization[Revenj.Json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AVERAGE(StandardEventsSerialization[Protobuf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tartupBoth" displayName="Startup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48" name="StandardEventsBoth" displayName="StandardEvent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49" name="Table8412344650" displayName="Table8412344650" ref="F4:K9" totalsRowShown="0">
  <autoFilter ref="F4:K9"/>
  <tableColumns count="6">
    <tableColumn id="1" name="Average"/>
    <tableColumn id="2" name="Newtonsoft.Json" dataDxfId="19"/>
    <tableColumn id="3" name="Jil" dataDxfId="18"/>
    <tableColumn id="4" name="Service stack" dataDxfId="17"/>
    <tableColumn id="5" name="Revenj.Json" dataDxfId="16"/>
    <tableColumn id="6" name="Revenj.Protobuf" dataDxfId="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0" name="Table811513354751" displayName="Table811513354751" ref="F12:K14" totalsRowShown="0">
  <autoFilter ref="F12:K14"/>
  <tableColumns count="6">
    <tableColumn id="1" name="Deviation"/>
    <tableColumn id="2" name="Newtonsoft.Json" dataDxfId="14">
      <calculatedColumnFormula>AVERAGE(#REF!)</calculatedColumnFormula>
    </tableColumn>
    <tableColumn id="3" name="Jil" dataDxfId="13"/>
    <tableColumn id="4" name="Service stack" dataDxfId="12"/>
    <tableColumn id="5" name="Revenj.Json" dataDxfId="11"/>
    <tableColumn id="6" name="Revenj.Protobuf" dataDxf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1" name="StandardAggregatesSerialization" displayName="StandardAggregatesSerialization" ref="B34:P44">
  <autoFilter ref="B34:P44"/>
  <tableColumns count="15">
    <tableColumn id="2" name="Newtonsoft (duration)" totalsRowFunction="custom">
      <totalsRowFormula>AVERAGE(StandardAggregatesSerialization[Newtonsoft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AVERAGE(StandardAggregatesSerialization[Jil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AVERAGE(StandardAggregatesSerialization[Service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AVERAGE(StandardAggregatesSerialization[Revenj.Json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AVERAGE(StandardAggregatesSerialization[Protobuf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52" name="StandardAggregatesBoth" displayName="StandardAggregate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3" name="Table841234465054" displayName="Table841234465054" ref="F4:K9" totalsRowShown="0">
  <autoFilter ref="F4:K9"/>
  <tableColumns count="6">
    <tableColumn id="1" name="Average"/>
    <tableColumn id="2" name="Newtonsoft.Json" dataDxfId="9"/>
    <tableColumn id="3" name="Jil" dataDxfId="8"/>
    <tableColumn id="4" name="Service stack" dataDxfId="7"/>
    <tableColumn id="5" name="Revenj.Json" dataDxfId="6"/>
    <tableColumn id="6" name="Revenj.Protobuf" dataDxfId="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4" name="Table81151335475155" displayName="Table81151335475155" ref="F12:K14" totalsRowShown="0">
  <autoFilter ref="F12:K14"/>
  <tableColumns count="6">
    <tableColumn id="1" name="Deviation"/>
    <tableColumn id="2" name="Newtonsoft.Json" dataDxfId="4">
      <calculatedColumnFormula>AVERAGE(#REF!)</calculatedColumnFormula>
    </tableColumn>
    <tableColumn id="3" name="Jil" dataDxfId="3"/>
    <tableColumn id="4" name="Service stack" dataDxfId="2"/>
    <tableColumn id="5" name="Revenj.Json" dataDxfId="1"/>
    <tableColumn id="6" name="Revenj.Protobuf" dataDxfId="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5" name="LargeAggregatesSerialization" displayName="LargeAggregatesSerialization" ref="B34:P44">
  <autoFilter ref="B34:P44"/>
  <tableColumns count="15">
    <tableColumn id="2" name="Newtonsoft (duration)" totalsRowFunction="custom">
      <totalsRowFormula>AVERAGE(LargeAggregatesSerialization[Newtonsoft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AVERAGE(LargeAggregatesSerialization[Jil (duration)])</totalsRowFormula>
    </tableColumn>
    <tableColumn id="9" name="Jil (size)"/>
    <tableColumn id="8" name="Jil (errors)"/>
    <tableColumn id="4" name="Service stack (duration)" totalsRowFunction="custom">
      <totalsRowFormula>AVERAGE(LargeAggregatesSerialization[Service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AVERAGE(LargeAggregatesSerialization[Revenj.Json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AVERAGE(LargeAggregatesSerialization[Protobuf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56" name="LargeAggregatesBoth" displayName="LargeAggregate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F4:K9" totalsRowShown="0">
  <autoFilter ref="F4:K9"/>
  <tableColumns count="6">
    <tableColumn id="1" name="Average"/>
    <tableColumn id="2" name="Newtonsoft.Json" dataDxfId="69">
      <calculatedColumnFormula>AVERAGE(StartupSerialization[Newtonsoft (duration)])</calculatedColumnFormula>
    </tableColumn>
    <tableColumn id="3" name="Jil" dataDxfId="68"/>
    <tableColumn id="4" name="Service stack" dataDxfId="67"/>
    <tableColumn id="5" name="Revenj.Json" dataDxfId="66"/>
    <tableColumn id="6" name="Revenj.Protobuf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811" displayName="Table811" ref="F12:K14" totalsRowShown="0">
  <autoFilter ref="F12:K14"/>
  <tableColumns count="6">
    <tableColumn id="1" name="Deviation"/>
    <tableColumn id="2" name="Newtonsoft.Json" dataDxfId="64">
      <calculatedColumnFormula>AVERAGE(StartupSerialization[Newtonsoft (duration)])</calculatedColumnFormula>
    </tableColumn>
    <tableColumn id="3" name="Jil" dataDxfId="63"/>
    <tableColumn id="4" name="Service stack" dataDxfId="62"/>
    <tableColumn id="5" name="Revenj.Json" dataDxfId="61"/>
    <tableColumn id="6" name="Revenj.Protobuf" dataDxfId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84" displayName="Table84" ref="F4:K9" totalsRowShown="0">
  <autoFilter ref="F4:K9"/>
  <tableColumns count="6">
    <tableColumn id="1" name="Average"/>
    <tableColumn id="2" name="Newtonsoft.Json" dataDxfId="59">
      <calculatedColumnFormula>AVERAGE(#REF!)</calculatedColumnFormula>
    </tableColumn>
    <tableColumn id="3" name="Jil" dataDxfId="58"/>
    <tableColumn id="4" name="Service stack" dataDxfId="57"/>
    <tableColumn id="5" name="Revenj.Json" dataDxfId="56"/>
    <tableColumn id="6" name="Revenj.Protobuf" dataDxfId="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8115" displayName="Table8115" ref="F12:K14" totalsRowShown="0">
  <autoFilter ref="F12:K14"/>
  <tableColumns count="6">
    <tableColumn id="1" name="Deviation"/>
    <tableColumn id="2" name="Newtonsoft.Json" dataDxfId="54"/>
    <tableColumn id="3" name="Jil" dataDxfId="53"/>
    <tableColumn id="4" name="Service stack" dataDxfId="52"/>
    <tableColumn id="5" name="Revenj.Json" dataDxfId="51"/>
    <tableColumn id="6" name="Revenj.Protobuf" dataDxfId="5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SmallEventsSerialization" displayName="SmallEventsSerialization" ref="B34:P44">
  <autoFilter ref="B34:P44"/>
  <tableColumns count="15">
    <tableColumn id="2" name="Newtonsoft (duration)" totalsRowFunction="custom">
      <totalsRowFormula>AVERAGE(SmallEventsSerialization[Newtonsoft (duration)])</totalsRowFormula>
    </tableColumn>
    <tableColumn id="7" name="Newtonsoft (size)"/>
    <tableColumn id="1" name="Newtonsoft (errors)"/>
    <tableColumn id="3" name="Jil (duration)" totalsRowFunction="custom">
      <totalsRowFormula>AVERAGE(SmallEventsSerialization[Jil (duration)])</totalsRowFormula>
    </tableColumn>
    <tableColumn id="9" name="Jil (size)"/>
    <tableColumn id="8" name="Jil (errors)"/>
    <tableColumn id="4" name="Service stack (duration)" totalsRowFunction="custom">
      <totalsRowFormula>AVERAGE(SmallEventsSerialization[Service stack (duration)])</totalsRowFormula>
    </tableColumn>
    <tableColumn id="11" name="Service stack (size)"/>
    <tableColumn id="10" name="Service stack (errors)"/>
    <tableColumn id="5" name="Revenj.Json (duration)" totalsRowFunction="custom">
      <totalsRowFormula>AVERAGE(SmallEventsSerialization[Revenj.Json (duration)])</totalsRowFormula>
    </tableColumn>
    <tableColumn id="15" name="Revenj.Json (size)"/>
    <tableColumn id="14" name="Revenj.Json (errors)"/>
    <tableColumn id="6" name="Protobuf (duration)" totalsRowFunction="custom">
      <totalsRowFormula>AVERAGE(SmallEventsSerialization[Protobuf (duration)])</totalsRowFormula>
    </tableColumn>
    <tableColumn id="12" name="Protobuf (size)"/>
    <tableColumn id="13" name="Protobuf (errors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SmallEventsBoth" displayName="SmallEventsBoth" ref="B47:K57" totalsRowShown="0">
  <autoFilter ref="B47:K57"/>
  <tableColumns count="10">
    <tableColumn id="2" name="Newtonsoft (duration)"/>
    <tableColumn id="1" name="Newtonsoft (errors)"/>
    <tableColumn id="3" name="Jil (duration)"/>
    <tableColumn id="7" name="Jil (errors)"/>
    <tableColumn id="4" name="Service stack (duration)"/>
    <tableColumn id="8" name="Service stack (errors)"/>
    <tableColumn id="5" name="Revenj.Json (duration)"/>
    <tableColumn id="9" name="Revenj.Json (errors)"/>
    <tableColumn id="6" name="Protobuf (duration)"/>
    <tableColumn id="10" name="Protobuf (erro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8412" displayName="Table8412" ref="F4:K9" totalsRowShown="0">
  <autoFilter ref="F4:K9"/>
  <tableColumns count="6">
    <tableColumn id="1" name="Average"/>
    <tableColumn id="2" name="Newtonsoft.Json" dataDxfId="49"/>
    <tableColumn id="3" name="Jil" dataDxfId="48"/>
    <tableColumn id="4" name="Service stack" dataDxfId="47"/>
    <tableColumn id="5" name="Revenj.Json" dataDxfId="46"/>
    <tableColumn id="6" name="Revenj.Protobuf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tabSelected="1"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5.5703125" customWidth="1"/>
    <col min="10" max="10" width="20.7109375" customWidth="1"/>
    <col min="11" max="11" width="20.5703125" customWidth="1"/>
    <col min="12" max="12" width="21.28515625" customWidth="1"/>
    <col min="13" max="13" width="17.28515625" customWidth="1"/>
    <col min="14" max="14" width="17.42578125" customWidth="1"/>
    <col min="15" max="15" width="16" customWidth="1"/>
    <col min="16" max="16" width="16.42578125" customWidth="1"/>
  </cols>
  <sheetData>
    <row r="2" spans="6:11" x14ac:dyDescent="0.25">
      <c r="F2" t="s">
        <v>11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AVERAGE(StartupSerialization[Newtonsoft (duration)])</f>
        <v>114.4</v>
      </c>
      <c r="H5" s="2">
        <f>AVERAGE(StartupSerialization[Jil (duration)])</f>
        <v>261.39999999999998</v>
      </c>
      <c r="I5" s="2">
        <f>AVERAGE(StartupSerialization[Service stack (duration)])</f>
        <v>72.400000000000006</v>
      </c>
      <c r="J5" s="2">
        <f>AVERAGE(StartupSerialization[Revenj.Json (duration)])</f>
        <v>9.3000000000000007</v>
      </c>
      <c r="K5" s="2">
        <f>AVERAGE(StartupSerialization[Protobuf (duration)])</f>
        <v>56</v>
      </c>
    </row>
    <row r="6" spans="6:11" x14ac:dyDescent="0.25">
      <c r="F6" t="s">
        <v>6</v>
      </c>
      <c r="G6" s="2">
        <f>G7-G5</f>
        <v>43.599999999999994</v>
      </c>
      <c r="H6" s="2">
        <f t="shared" ref="H6:K6" si="0">H7-H5</f>
        <v>84.800000000000011</v>
      </c>
      <c r="I6" s="2">
        <f t="shared" si="0"/>
        <v>33</v>
      </c>
      <c r="J6" s="2">
        <f t="shared" si="0"/>
        <v>7.1999999999999993</v>
      </c>
      <c r="K6" s="2">
        <f t="shared" si="0"/>
        <v>7.2000000000000028</v>
      </c>
    </row>
    <row r="7" spans="6:11" x14ac:dyDescent="0.25">
      <c r="F7" t="s">
        <v>4</v>
      </c>
      <c r="G7" s="2">
        <f>AVERAGE(StartupBoth[Newtonsoft (duration)])</f>
        <v>158</v>
      </c>
      <c r="H7" s="2">
        <f>AVERAGE(StartupBoth[Jil (duration)])</f>
        <v>346.2</v>
      </c>
      <c r="I7" s="2">
        <f>AVERAGE(StartupBoth[Service stack (duration)])</f>
        <v>105.4</v>
      </c>
      <c r="J7" s="2">
        <f>AVERAGE(StartupBoth[Revenj.Json (duration)])</f>
        <v>16.5</v>
      </c>
      <c r="K7" s="2">
        <f>AVERAGE(StartupBoth[Protobuf (duration)])</f>
        <v>63.2</v>
      </c>
    </row>
    <row r="8" spans="6:11" x14ac:dyDescent="0.25">
      <c r="F8" t="s">
        <v>19</v>
      </c>
      <c r="G8" s="2">
        <f>AVERAGE(StartupBoth[Newtonsoft (errors)])</f>
        <v>0</v>
      </c>
      <c r="H8" s="2">
        <f>AVERAGE(StartupBoth[Jil (errors)])</f>
        <v>0</v>
      </c>
      <c r="I8" s="2">
        <f>AVERAGE(StartupBoth[Service stack (errors)])</f>
        <v>1</v>
      </c>
      <c r="J8" s="2">
        <f>AVERAGE(StartupBoth[Revenj.Json (errors)])</f>
        <v>0</v>
      </c>
      <c r="K8" s="2">
        <f>AVERAGE(StartupBoth[Protobuf (errors)])</f>
        <v>0</v>
      </c>
    </row>
    <row r="9" spans="6:11" x14ac:dyDescent="0.25">
      <c r="F9" t="s">
        <v>20</v>
      </c>
      <c r="G9" s="2">
        <f>AVERAGE(StartupSerialization[Newtonsoft (size)])</f>
        <v>97</v>
      </c>
      <c r="H9" s="2">
        <f>AVERAGE(StartupSerialization[Jil (size)])</f>
        <v>103</v>
      </c>
      <c r="I9" s="2">
        <f>AVERAGE(StartupSerialization[Service stack (size)])</f>
        <v>34</v>
      </c>
      <c r="J9" s="2">
        <f>AVERAGE(StartupSerialization[Revenj.Json (size)])</f>
        <v>78</v>
      </c>
      <c r="K9" s="2">
        <f>AVERAGE(StartupSerialization[Protobuf (size)])</f>
        <v>32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DEVSQ(StartupSerialization[Newtonsoft (duration)])</f>
        <v>158.39999999999998</v>
      </c>
      <c r="H13" s="2">
        <f>DEVSQ(StartupSerialization[Jil (duration)])</f>
        <v>512.4</v>
      </c>
      <c r="I13" s="2">
        <f>DEVSQ(StartupSerialization[Service stack (duration)])</f>
        <v>198.39999999999992</v>
      </c>
      <c r="J13" s="2">
        <f>DEVSQ(StartupSerialization[Revenj.Json (duration)])</f>
        <v>8.1000000000000014</v>
      </c>
      <c r="K13" s="2">
        <f>DEVSQ(StartupSerialization[Protobuf (duration)])</f>
        <v>110</v>
      </c>
    </row>
    <row r="14" spans="6:11" x14ac:dyDescent="0.25">
      <c r="F14" t="s">
        <v>4</v>
      </c>
      <c r="G14" s="2">
        <f>DEVSQ(StartupBoth[Newtonsoft (duration)])</f>
        <v>212</v>
      </c>
      <c r="H14" s="2">
        <f>DEVSQ(StartupBoth[Jil (duration)])</f>
        <v>941.5999999999998</v>
      </c>
      <c r="I14" s="2">
        <f>DEVSQ(StartupBoth[Service stack (duration)])</f>
        <v>38.399999999999991</v>
      </c>
      <c r="J14" s="2">
        <f>DEVSQ(StartupBoth[Revenj.Json (duration)])</f>
        <v>4.5</v>
      </c>
      <c r="K14" s="2">
        <f>DEVSQ(StartupBoth[Protobuf (duration)])</f>
        <v>31.600000000000009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112</v>
      </c>
      <c r="C35">
        <v>97</v>
      </c>
      <c r="D35">
        <v>0</v>
      </c>
      <c r="E35">
        <v>257</v>
      </c>
      <c r="F35">
        <v>103</v>
      </c>
      <c r="G35">
        <v>0</v>
      </c>
      <c r="H35">
        <v>69</v>
      </c>
      <c r="I35">
        <v>34</v>
      </c>
      <c r="J35">
        <v>0</v>
      </c>
      <c r="K35">
        <v>8</v>
      </c>
      <c r="L35">
        <v>78</v>
      </c>
      <c r="M35">
        <v>0</v>
      </c>
      <c r="N35">
        <v>63</v>
      </c>
      <c r="O35">
        <v>32</v>
      </c>
      <c r="P35">
        <v>0</v>
      </c>
    </row>
    <row r="36" spans="2:16" x14ac:dyDescent="0.25">
      <c r="B36">
        <v>117</v>
      </c>
      <c r="C36">
        <v>97</v>
      </c>
      <c r="D36">
        <v>0</v>
      </c>
      <c r="E36">
        <v>259</v>
      </c>
      <c r="F36">
        <v>103</v>
      </c>
      <c r="G36">
        <v>0</v>
      </c>
      <c r="H36">
        <v>84</v>
      </c>
      <c r="I36">
        <v>34</v>
      </c>
      <c r="J36">
        <v>0</v>
      </c>
      <c r="K36">
        <v>11</v>
      </c>
      <c r="L36">
        <v>78</v>
      </c>
      <c r="M36">
        <v>0</v>
      </c>
      <c r="N36">
        <v>54</v>
      </c>
      <c r="O36">
        <v>32</v>
      </c>
      <c r="P36">
        <v>0</v>
      </c>
    </row>
    <row r="37" spans="2:16" x14ac:dyDescent="0.25">
      <c r="B37">
        <v>112</v>
      </c>
      <c r="C37">
        <v>97</v>
      </c>
      <c r="D37">
        <v>0</v>
      </c>
      <c r="E37">
        <v>255</v>
      </c>
      <c r="F37">
        <v>103</v>
      </c>
      <c r="G37">
        <v>0</v>
      </c>
      <c r="H37">
        <v>69</v>
      </c>
      <c r="I37">
        <v>34</v>
      </c>
      <c r="J37">
        <v>0</v>
      </c>
      <c r="K37">
        <v>11</v>
      </c>
      <c r="L37">
        <v>78</v>
      </c>
      <c r="M37">
        <v>0</v>
      </c>
      <c r="N37">
        <v>55</v>
      </c>
      <c r="O37">
        <v>32</v>
      </c>
      <c r="P37">
        <v>0</v>
      </c>
    </row>
    <row r="38" spans="2:16" x14ac:dyDescent="0.25">
      <c r="B38">
        <v>120</v>
      </c>
      <c r="C38">
        <v>97</v>
      </c>
      <c r="D38">
        <v>0</v>
      </c>
      <c r="E38">
        <v>271</v>
      </c>
      <c r="F38">
        <v>103</v>
      </c>
      <c r="G38">
        <v>0</v>
      </c>
      <c r="H38">
        <v>76</v>
      </c>
      <c r="I38">
        <v>34</v>
      </c>
      <c r="J38">
        <v>0</v>
      </c>
      <c r="K38">
        <v>9</v>
      </c>
      <c r="L38">
        <v>78</v>
      </c>
      <c r="M38">
        <v>0</v>
      </c>
      <c r="N38">
        <v>54</v>
      </c>
      <c r="O38">
        <v>32</v>
      </c>
      <c r="P38">
        <v>0</v>
      </c>
    </row>
    <row r="39" spans="2:16" x14ac:dyDescent="0.25">
      <c r="B39">
        <v>123</v>
      </c>
      <c r="C39">
        <v>97</v>
      </c>
      <c r="D39">
        <v>0</v>
      </c>
      <c r="E39">
        <v>257</v>
      </c>
      <c r="F39">
        <v>103</v>
      </c>
      <c r="G39">
        <v>0</v>
      </c>
      <c r="H39">
        <v>74</v>
      </c>
      <c r="I39">
        <v>34</v>
      </c>
      <c r="J39">
        <v>0</v>
      </c>
      <c r="K39">
        <v>9</v>
      </c>
      <c r="L39">
        <v>78</v>
      </c>
      <c r="M39">
        <v>0</v>
      </c>
      <c r="N39">
        <v>55</v>
      </c>
      <c r="O39">
        <v>32</v>
      </c>
      <c r="P39">
        <v>0</v>
      </c>
    </row>
    <row r="40" spans="2:16" x14ac:dyDescent="0.25">
      <c r="B40">
        <v>110</v>
      </c>
      <c r="C40">
        <v>97</v>
      </c>
      <c r="D40">
        <v>0</v>
      </c>
      <c r="E40">
        <v>276</v>
      </c>
      <c r="F40">
        <v>103</v>
      </c>
      <c r="G40">
        <v>0</v>
      </c>
      <c r="H40">
        <v>69</v>
      </c>
      <c r="I40">
        <v>34</v>
      </c>
      <c r="J40">
        <v>0</v>
      </c>
      <c r="K40">
        <v>9</v>
      </c>
      <c r="L40">
        <v>78</v>
      </c>
      <c r="M40">
        <v>0</v>
      </c>
      <c r="N40">
        <v>55</v>
      </c>
      <c r="O40">
        <v>32</v>
      </c>
      <c r="P40">
        <v>0</v>
      </c>
    </row>
    <row r="41" spans="2:16" x14ac:dyDescent="0.25">
      <c r="B41">
        <v>113</v>
      </c>
      <c r="C41">
        <v>97</v>
      </c>
      <c r="D41">
        <v>0</v>
      </c>
      <c r="E41">
        <v>257</v>
      </c>
      <c r="F41">
        <v>103</v>
      </c>
      <c r="G41">
        <v>0</v>
      </c>
      <c r="H41">
        <v>70</v>
      </c>
      <c r="I41">
        <v>34</v>
      </c>
      <c r="J41">
        <v>0</v>
      </c>
      <c r="K41">
        <v>9</v>
      </c>
      <c r="L41">
        <v>78</v>
      </c>
      <c r="M41">
        <v>0</v>
      </c>
      <c r="N41">
        <v>54</v>
      </c>
      <c r="O41">
        <v>32</v>
      </c>
      <c r="P41">
        <v>0</v>
      </c>
    </row>
    <row r="42" spans="2:16" x14ac:dyDescent="0.25">
      <c r="B42">
        <v>113</v>
      </c>
      <c r="C42">
        <v>97</v>
      </c>
      <c r="D42">
        <v>0</v>
      </c>
      <c r="E42">
        <v>262</v>
      </c>
      <c r="F42">
        <v>103</v>
      </c>
      <c r="G42">
        <v>0</v>
      </c>
      <c r="H42">
        <v>71</v>
      </c>
      <c r="I42">
        <v>34</v>
      </c>
      <c r="J42">
        <v>0</v>
      </c>
      <c r="K42">
        <v>9</v>
      </c>
      <c r="L42">
        <v>78</v>
      </c>
      <c r="M42">
        <v>0</v>
      </c>
      <c r="N42">
        <v>62</v>
      </c>
      <c r="O42">
        <v>32</v>
      </c>
      <c r="P42">
        <v>0</v>
      </c>
    </row>
    <row r="43" spans="2:16" x14ac:dyDescent="0.25">
      <c r="B43">
        <v>112</v>
      </c>
      <c r="C43">
        <v>97</v>
      </c>
      <c r="D43">
        <v>0</v>
      </c>
      <c r="E43">
        <v>267</v>
      </c>
      <c r="F43">
        <v>103</v>
      </c>
      <c r="G43">
        <v>0</v>
      </c>
      <c r="H43">
        <v>72</v>
      </c>
      <c r="I43">
        <v>34</v>
      </c>
      <c r="J43">
        <v>0</v>
      </c>
      <c r="K43">
        <v>9</v>
      </c>
      <c r="L43">
        <v>78</v>
      </c>
      <c r="M43">
        <v>0</v>
      </c>
      <c r="N43">
        <v>53</v>
      </c>
      <c r="O43">
        <v>32</v>
      </c>
      <c r="P43">
        <v>0</v>
      </c>
    </row>
    <row r="44" spans="2:16" x14ac:dyDescent="0.25">
      <c r="B44">
        <v>112</v>
      </c>
      <c r="C44">
        <v>97</v>
      </c>
      <c r="D44">
        <v>0</v>
      </c>
      <c r="E44">
        <v>253</v>
      </c>
      <c r="F44">
        <v>103</v>
      </c>
      <c r="G44">
        <v>0</v>
      </c>
      <c r="H44">
        <v>70</v>
      </c>
      <c r="I44">
        <v>34</v>
      </c>
      <c r="J44">
        <v>0</v>
      </c>
      <c r="K44">
        <v>9</v>
      </c>
      <c r="L44">
        <v>78</v>
      </c>
      <c r="M44">
        <v>0</v>
      </c>
      <c r="N44">
        <v>55</v>
      </c>
      <c r="O44">
        <v>32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157</v>
      </c>
      <c r="C48">
        <v>0</v>
      </c>
      <c r="D48">
        <v>358</v>
      </c>
      <c r="E48">
        <v>0</v>
      </c>
      <c r="F48">
        <v>103</v>
      </c>
      <c r="G48">
        <v>1</v>
      </c>
      <c r="H48">
        <v>17</v>
      </c>
      <c r="I48">
        <v>0</v>
      </c>
      <c r="J48">
        <v>63</v>
      </c>
      <c r="K48">
        <v>0</v>
      </c>
    </row>
    <row r="49" spans="2:11" x14ac:dyDescent="0.25">
      <c r="B49">
        <v>156</v>
      </c>
      <c r="C49">
        <v>0</v>
      </c>
      <c r="D49">
        <v>343</v>
      </c>
      <c r="E49">
        <v>0</v>
      </c>
      <c r="F49">
        <v>105</v>
      </c>
      <c r="G49">
        <v>1</v>
      </c>
      <c r="H49">
        <v>16</v>
      </c>
      <c r="I49">
        <v>0</v>
      </c>
      <c r="J49">
        <v>64</v>
      </c>
      <c r="K49">
        <v>0</v>
      </c>
    </row>
    <row r="50" spans="2:11" x14ac:dyDescent="0.25">
      <c r="B50">
        <v>154</v>
      </c>
      <c r="C50">
        <v>0</v>
      </c>
      <c r="D50">
        <v>370</v>
      </c>
      <c r="E50">
        <v>0</v>
      </c>
      <c r="F50">
        <v>104</v>
      </c>
      <c r="G50">
        <v>1</v>
      </c>
      <c r="H50">
        <v>18</v>
      </c>
      <c r="I50">
        <v>0</v>
      </c>
      <c r="J50">
        <v>63</v>
      </c>
      <c r="K50">
        <v>0</v>
      </c>
    </row>
    <row r="51" spans="2:11" x14ac:dyDescent="0.25">
      <c r="B51">
        <v>157</v>
      </c>
      <c r="C51">
        <v>0</v>
      </c>
      <c r="D51">
        <v>336</v>
      </c>
      <c r="E51">
        <v>0</v>
      </c>
      <c r="F51">
        <v>106</v>
      </c>
      <c r="G51">
        <v>1</v>
      </c>
      <c r="H51">
        <v>16</v>
      </c>
      <c r="I51">
        <v>0</v>
      </c>
      <c r="J51">
        <v>63</v>
      </c>
      <c r="K51">
        <v>0</v>
      </c>
    </row>
    <row r="52" spans="2:11" x14ac:dyDescent="0.25">
      <c r="B52">
        <v>156</v>
      </c>
      <c r="C52">
        <v>0</v>
      </c>
      <c r="D52">
        <v>338</v>
      </c>
      <c r="E52">
        <v>0</v>
      </c>
      <c r="F52">
        <v>103</v>
      </c>
      <c r="G52">
        <v>1</v>
      </c>
      <c r="H52">
        <v>16</v>
      </c>
      <c r="I52">
        <v>0</v>
      </c>
      <c r="J52">
        <v>68</v>
      </c>
      <c r="K52">
        <v>0</v>
      </c>
    </row>
    <row r="53" spans="2:11" x14ac:dyDescent="0.25">
      <c r="B53">
        <v>154</v>
      </c>
      <c r="C53">
        <v>0</v>
      </c>
      <c r="D53">
        <v>345</v>
      </c>
      <c r="E53">
        <v>0</v>
      </c>
      <c r="F53">
        <v>110</v>
      </c>
      <c r="G53">
        <v>1</v>
      </c>
      <c r="H53">
        <v>16</v>
      </c>
      <c r="I53">
        <v>0</v>
      </c>
      <c r="J53">
        <v>63</v>
      </c>
      <c r="K53">
        <v>0</v>
      </c>
    </row>
    <row r="54" spans="2:11" x14ac:dyDescent="0.25">
      <c r="B54">
        <v>156</v>
      </c>
      <c r="C54">
        <v>0</v>
      </c>
      <c r="D54">
        <v>346</v>
      </c>
      <c r="E54">
        <v>0</v>
      </c>
      <c r="F54">
        <v>105</v>
      </c>
      <c r="G54">
        <v>1</v>
      </c>
      <c r="H54">
        <v>17</v>
      </c>
      <c r="I54">
        <v>0</v>
      </c>
      <c r="J54">
        <v>62</v>
      </c>
      <c r="K54">
        <v>0</v>
      </c>
    </row>
    <row r="55" spans="2:11" x14ac:dyDescent="0.25">
      <c r="B55">
        <v>167</v>
      </c>
      <c r="C55">
        <v>0</v>
      </c>
      <c r="D55">
        <v>342</v>
      </c>
      <c r="E55">
        <v>0</v>
      </c>
      <c r="F55">
        <v>105</v>
      </c>
      <c r="G55">
        <v>1</v>
      </c>
      <c r="H55">
        <v>16</v>
      </c>
      <c r="I55">
        <v>0</v>
      </c>
      <c r="J55">
        <v>62</v>
      </c>
      <c r="K55">
        <v>0</v>
      </c>
    </row>
    <row r="56" spans="2:11" x14ac:dyDescent="0.25">
      <c r="B56">
        <v>167</v>
      </c>
      <c r="C56">
        <v>0</v>
      </c>
      <c r="D56">
        <v>342</v>
      </c>
      <c r="E56">
        <v>0</v>
      </c>
      <c r="F56">
        <v>107</v>
      </c>
      <c r="G56">
        <v>1</v>
      </c>
      <c r="H56">
        <v>16</v>
      </c>
      <c r="I56">
        <v>0</v>
      </c>
      <c r="J56">
        <v>63</v>
      </c>
      <c r="K56">
        <v>0</v>
      </c>
    </row>
    <row r="57" spans="2:11" x14ac:dyDescent="0.25">
      <c r="B57">
        <v>156</v>
      </c>
      <c r="C57">
        <v>0</v>
      </c>
      <c r="D57">
        <v>342</v>
      </c>
      <c r="E57">
        <v>0</v>
      </c>
      <c r="F57">
        <v>106</v>
      </c>
      <c r="G57">
        <v>1</v>
      </c>
      <c r="H57">
        <v>17</v>
      </c>
      <c r="I57">
        <v>0</v>
      </c>
      <c r="J57">
        <v>61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6" customWidth="1"/>
    <col min="10" max="10" width="14.7109375" customWidth="1"/>
    <col min="11" max="11" width="18" customWidth="1"/>
    <col min="12" max="12" width="21.28515625" customWidth="1"/>
    <col min="13" max="13" width="19.42578125" customWidth="1"/>
    <col min="14" max="14" width="18.28515625" customWidth="1"/>
    <col min="15" max="15" width="15.7109375" customWidth="1"/>
    <col min="16" max="16" width="18.140625" customWidth="1"/>
  </cols>
  <sheetData>
    <row r="2" spans="6:11" x14ac:dyDescent="0.25">
      <c r="F2" t="s">
        <v>12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AVERAGE(SmallEventsSerialization[Newtonsoft (duration)])</f>
        <v>482.8</v>
      </c>
      <c r="H5" s="2">
        <f>AVERAGE(SmallEventsSerialization[Jil (duration)])</f>
        <v>644</v>
      </c>
      <c r="I5" s="2">
        <f>AVERAGE(SmallEventsSerialization[Service stack (duration)])</f>
        <v>379</v>
      </c>
      <c r="J5" s="2">
        <f>AVERAGE(SmallEventsSerialization[Revenj.Json (duration)])</f>
        <v>309.39999999999998</v>
      </c>
      <c r="K5" s="2">
        <f>AVERAGE(SmallEventsSerialization[Protobuf (duration)])</f>
        <v>161.5</v>
      </c>
    </row>
    <row r="6" spans="6:11" x14ac:dyDescent="0.25">
      <c r="F6" t="s">
        <v>6</v>
      </c>
      <c r="G6" s="2">
        <f>G7-G5</f>
        <v>793</v>
      </c>
      <c r="H6" s="2">
        <f t="shared" ref="H6:K6" si="0">H7-H5</f>
        <v>390.70000000000005</v>
      </c>
      <c r="I6" s="2">
        <f t="shared" si="0"/>
        <v>539.6</v>
      </c>
      <c r="J6" s="2">
        <f t="shared" si="0"/>
        <v>420.5</v>
      </c>
      <c r="K6" s="2">
        <f t="shared" si="0"/>
        <v>157.39999999999998</v>
      </c>
    </row>
    <row r="7" spans="6:11" x14ac:dyDescent="0.25">
      <c r="F7" t="s">
        <v>4</v>
      </c>
      <c r="G7" s="2">
        <f>AVERAGE(SmallEventsBoth[Newtonsoft (duration)])</f>
        <v>1275.8</v>
      </c>
      <c r="H7" s="2">
        <f>AVERAGE(SmallEventsBoth[Jil (duration)])</f>
        <v>1034.7</v>
      </c>
      <c r="I7" s="2">
        <f>AVERAGE(SmallEventsBoth[Service stack (duration)])</f>
        <v>918.6</v>
      </c>
      <c r="J7" s="2">
        <f>AVERAGE(SmallEventsBoth[Revenj.Json (duration)])</f>
        <v>729.9</v>
      </c>
      <c r="K7" s="2">
        <f>AVERAGE(SmallEventsBoth[Protobuf (duration)])</f>
        <v>318.89999999999998</v>
      </c>
    </row>
    <row r="8" spans="6:11" x14ac:dyDescent="0.25">
      <c r="F8" t="s">
        <v>19</v>
      </c>
      <c r="G8" s="2">
        <f>AVERAGE(SmallEventsBoth[Newtonsoft (errors)])</f>
        <v>0</v>
      </c>
      <c r="H8" s="2">
        <f>AVERAGE(SmallEventsBoth[Jil (errors)])</f>
        <v>0</v>
      </c>
      <c r="I8" s="2">
        <f>AVERAGE(SmallEventsBoth[Service stack (errors)])</f>
        <v>100000</v>
      </c>
      <c r="J8" s="2">
        <f>AVERAGE(SmallEventsBoth[Revenj.Json (errors)])</f>
        <v>0</v>
      </c>
      <c r="K8" s="2">
        <f>AVERAGE(SmallEventsBoth[Protobuf (errors)])</f>
        <v>0</v>
      </c>
    </row>
    <row r="9" spans="6:11" x14ac:dyDescent="0.25">
      <c r="F9" t="s">
        <v>20</v>
      </c>
      <c r="G9" s="2">
        <f>AVERAGE(SmallEventsSerialization[Newtonsoft (size)])</f>
        <v>101</v>
      </c>
      <c r="H9" s="2">
        <f>AVERAGE(SmallEventsSerialization[Jil (size)])</f>
        <v>107</v>
      </c>
      <c r="I9" s="2">
        <f>AVERAGE(SmallEventsSerialization[Service stack (size)])</f>
        <v>34</v>
      </c>
      <c r="J9" s="2">
        <f>AVERAGE(SmallEventsSerialization[Revenj.Json (size)])</f>
        <v>82</v>
      </c>
      <c r="K9" s="2">
        <f>AVERAGE(SmallEventsSerialization[Protobuf (size)])</f>
        <v>36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DEVSQ(SmallEventsSerialization[Newtonsoft (duration)])</f>
        <v>1691.6</v>
      </c>
      <c r="H13" s="2">
        <f>DEVSQ(SmallEventsSerialization[Jil (duration)])</f>
        <v>1972</v>
      </c>
      <c r="I13" s="2">
        <f>DEVSQ(SmallEventsSerialization[Service stack (duration)])</f>
        <v>720</v>
      </c>
      <c r="J13" s="2">
        <f>DEVSQ(SmallEventsSerialization[Revenj.Json (duration)])</f>
        <v>418.39999999999992</v>
      </c>
      <c r="K13" s="2">
        <f>DEVSQ(SmallEventsSerialization[Protobuf (duration)])</f>
        <v>1296.5</v>
      </c>
    </row>
    <row r="14" spans="6:11" x14ac:dyDescent="0.25">
      <c r="F14" t="s">
        <v>4</v>
      </c>
      <c r="G14" s="2">
        <f>DEVSQ(SmallEventsBoth[Newtonsoft (duration)])</f>
        <v>4083.5999999999995</v>
      </c>
      <c r="H14" s="2">
        <f>DEVSQ(SmallEventsBoth[Jil (duration)])</f>
        <v>552.09999999999991</v>
      </c>
      <c r="I14" s="2">
        <f>DEVSQ(SmallEventsBoth[Service stack (duration)])</f>
        <v>6750.4000000000005</v>
      </c>
      <c r="J14" s="2">
        <f>DEVSQ(SmallEventsBoth[Revenj.Json (duration)])</f>
        <v>2632.9</v>
      </c>
      <c r="K14" s="2">
        <f>DEVSQ(SmallEventsBoth[Protobuf (duration)])</f>
        <v>4546.8999999999996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501</v>
      </c>
      <c r="C35">
        <v>101</v>
      </c>
      <c r="D35">
        <v>0</v>
      </c>
      <c r="E35">
        <v>645</v>
      </c>
      <c r="F35">
        <v>107</v>
      </c>
      <c r="G35">
        <v>0</v>
      </c>
      <c r="H35">
        <v>367</v>
      </c>
      <c r="I35">
        <v>34</v>
      </c>
      <c r="J35">
        <v>0</v>
      </c>
      <c r="K35">
        <v>317</v>
      </c>
      <c r="L35">
        <v>82</v>
      </c>
      <c r="M35">
        <v>0</v>
      </c>
      <c r="N35">
        <v>156</v>
      </c>
      <c r="O35">
        <v>36</v>
      </c>
      <c r="P35">
        <v>0</v>
      </c>
    </row>
    <row r="36" spans="2:16" x14ac:dyDescent="0.25">
      <c r="B36">
        <v>470</v>
      </c>
      <c r="C36">
        <v>101</v>
      </c>
      <c r="D36">
        <v>0</v>
      </c>
      <c r="E36">
        <v>628</v>
      </c>
      <c r="F36">
        <v>107</v>
      </c>
      <c r="G36">
        <v>0</v>
      </c>
      <c r="H36">
        <v>384</v>
      </c>
      <c r="I36">
        <v>34</v>
      </c>
      <c r="J36">
        <v>0</v>
      </c>
      <c r="K36">
        <v>304</v>
      </c>
      <c r="L36">
        <v>82</v>
      </c>
      <c r="M36">
        <v>0</v>
      </c>
      <c r="N36">
        <v>154</v>
      </c>
      <c r="O36">
        <v>36</v>
      </c>
      <c r="P36">
        <v>0</v>
      </c>
    </row>
    <row r="37" spans="2:16" x14ac:dyDescent="0.25">
      <c r="B37">
        <v>473</v>
      </c>
      <c r="C37">
        <v>101</v>
      </c>
      <c r="D37">
        <v>0</v>
      </c>
      <c r="E37">
        <v>665</v>
      </c>
      <c r="F37">
        <v>107</v>
      </c>
      <c r="G37">
        <v>0</v>
      </c>
      <c r="H37">
        <v>378</v>
      </c>
      <c r="I37">
        <v>34</v>
      </c>
      <c r="J37">
        <v>0</v>
      </c>
      <c r="K37">
        <v>321</v>
      </c>
      <c r="L37">
        <v>82</v>
      </c>
      <c r="M37">
        <v>0</v>
      </c>
      <c r="N37">
        <v>153</v>
      </c>
      <c r="O37">
        <v>36</v>
      </c>
      <c r="P37">
        <v>0</v>
      </c>
    </row>
    <row r="38" spans="2:16" x14ac:dyDescent="0.25">
      <c r="B38">
        <v>491</v>
      </c>
      <c r="C38">
        <v>101</v>
      </c>
      <c r="D38">
        <v>0</v>
      </c>
      <c r="E38">
        <v>672</v>
      </c>
      <c r="F38">
        <v>107</v>
      </c>
      <c r="G38">
        <v>0</v>
      </c>
      <c r="H38">
        <v>376</v>
      </c>
      <c r="I38">
        <v>34</v>
      </c>
      <c r="J38">
        <v>0</v>
      </c>
      <c r="K38">
        <v>307</v>
      </c>
      <c r="L38">
        <v>82</v>
      </c>
      <c r="M38">
        <v>0</v>
      </c>
      <c r="N38">
        <v>190</v>
      </c>
      <c r="O38">
        <v>36</v>
      </c>
      <c r="P38">
        <v>0</v>
      </c>
    </row>
    <row r="39" spans="2:16" x14ac:dyDescent="0.25">
      <c r="B39">
        <v>484</v>
      </c>
      <c r="C39">
        <v>101</v>
      </c>
      <c r="D39">
        <v>0</v>
      </c>
      <c r="E39">
        <v>635</v>
      </c>
      <c r="F39">
        <v>107</v>
      </c>
      <c r="G39">
        <v>0</v>
      </c>
      <c r="H39">
        <v>374</v>
      </c>
      <c r="I39">
        <v>34</v>
      </c>
      <c r="J39">
        <v>0</v>
      </c>
      <c r="K39">
        <v>304</v>
      </c>
      <c r="L39">
        <v>82</v>
      </c>
      <c r="M39">
        <v>0</v>
      </c>
      <c r="N39">
        <v>174</v>
      </c>
      <c r="O39">
        <v>36</v>
      </c>
      <c r="P39">
        <v>0</v>
      </c>
    </row>
    <row r="40" spans="2:16" x14ac:dyDescent="0.25">
      <c r="B40">
        <v>474</v>
      </c>
      <c r="C40">
        <v>101</v>
      </c>
      <c r="D40">
        <v>0</v>
      </c>
      <c r="E40">
        <v>642</v>
      </c>
      <c r="F40">
        <v>107</v>
      </c>
      <c r="G40">
        <v>0</v>
      </c>
      <c r="H40">
        <v>380</v>
      </c>
      <c r="I40">
        <v>34</v>
      </c>
      <c r="J40">
        <v>0</v>
      </c>
      <c r="K40">
        <v>306</v>
      </c>
      <c r="L40">
        <v>82</v>
      </c>
      <c r="M40">
        <v>0</v>
      </c>
      <c r="N40">
        <v>156</v>
      </c>
      <c r="O40">
        <v>36</v>
      </c>
      <c r="P40">
        <v>0</v>
      </c>
    </row>
    <row r="41" spans="2:16" x14ac:dyDescent="0.25">
      <c r="B41">
        <v>471</v>
      </c>
      <c r="C41">
        <v>101</v>
      </c>
      <c r="D41">
        <v>0</v>
      </c>
      <c r="E41">
        <v>630</v>
      </c>
      <c r="F41">
        <v>107</v>
      </c>
      <c r="G41">
        <v>0</v>
      </c>
      <c r="H41">
        <v>383</v>
      </c>
      <c r="I41">
        <v>34</v>
      </c>
      <c r="J41">
        <v>0</v>
      </c>
      <c r="K41">
        <v>306</v>
      </c>
      <c r="L41">
        <v>82</v>
      </c>
      <c r="M41">
        <v>0</v>
      </c>
      <c r="N41">
        <v>155</v>
      </c>
      <c r="O41">
        <v>36</v>
      </c>
      <c r="P41">
        <v>0</v>
      </c>
    </row>
    <row r="42" spans="2:16" x14ac:dyDescent="0.25">
      <c r="B42">
        <v>501</v>
      </c>
      <c r="C42">
        <v>101</v>
      </c>
      <c r="D42">
        <v>0</v>
      </c>
      <c r="E42">
        <v>632</v>
      </c>
      <c r="F42">
        <v>107</v>
      </c>
      <c r="G42">
        <v>0</v>
      </c>
      <c r="H42">
        <v>400</v>
      </c>
      <c r="I42">
        <v>34</v>
      </c>
      <c r="J42">
        <v>0</v>
      </c>
      <c r="K42">
        <v>319</v>
      </c>
      <c r="L42">
        <v>82</v>
      </c>
      <c r="M42">
        <v>0</v>
      </c>
      <c r="N42">
        <v>154</v>
      </c>
      <c r="O42">
        <v>36</v>
      </c>
      <c r="P42">
        <v>0</v>
      </c>
    </row>
    <row r="43" spans="2:16" x14ac:dyDescent="0.25">
      <c r="B43">
        <v>497</v>
      </c>
      <c r="C43">
        <v>101</v>
      </c>
      <c r="D43">
        <v>0</v>
      </c>
      <c r="E43">
        <v>640</v>
      </c>
      <c r="F43">
        <v>107</v>
      </c>
      <c r="G43">
        <v>0</v>
      </c>
      <c r="H43">
        <v>372</v>
      </c>
      <c r="I43">
        <v>34</v>
      </c>
      <c r="J43">
        <v>0</v>
      </c>
      <c r="K43">
        <v>303</v>
      </c>
      <c r="L43">
        <v>82</v>
      </c>
      <c r="M43">
        <v>0</v>
      </c>
      <c r="N43">
        <v>166</v>
      </c>
      <c r="O43">
        <v>36</v>
      </c>
      <c r="P43">
        <v>0</v>
      </c>
    </row>
    <row r="44" spans="2:16" x14ac:dyDescent="0.25">
      <c r="B44">
        <v>466</v>
      </c>
      <c r="C44">
        <v>101</v>
      </c>
      <c r="D44">
        <v>0</v>
      </c>
      <c r="E44">
        <v>651</v>
      </c>
      <c r="F44">
        <v>107</v>
      </c>
      <c r="G44">
        <v>0</v>
      </c>
      <c r="H44">
        <v>376</v>
      </c>
      <c r="I44">
        <v>34</v>
      </c>
      <c r="J44">
        <v>0</v>
      </c>
      <c r="K44">
        <v>307</v>
      </c>
      <c r="L44">
        <v>82</v>
      </c>
      <c r="M44">
        <v>0</v>
      </c>
      <c r="N44">
        <v>157</v>
      </c>
      <c r="O44">
        <v>36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1284</v>
      </c>
      <c r="C48">
        <v>0</v>
      </c>
      <c r="D48">
        <v>1046</v>
      </c>
      <c r="E48">
        <v>0</v>
      </c>
      <c r="F48">
        <v>900</v>
      </c>
      <c r="G48">
        <v>100000</v>
      </c>
      <c r="H48">
        <v>750</v>
      </c>
      <c r="I48">
        <v>0</v>
      </c>
      <c r="J48">
        <v>312</v>
      </c>
      <c r="K48">
        <v>0</v>
      </c>
    </row>
    <row r="49" spans="2:11" x14ac:dyDescent="0.25">
      <c r="B49">
        <v>1250</v>
      </c>
      <c r="C49">
        <v>0</v>
      </c>
      <c r="D49">
        <v>1023</v>
      </c>
      <c r="E49">
        <v>0</v>
      </c>
      <c r="F49">
        <v>911</v>
      </c>
      <c r="G49">
        <v>100000</v>
      </c>
      <c r="H49">
        <v>752</v>
      </c>
      <c r="I49">
        <v>0</v>
      </c>
      <c r="J49">
        <v>313</v>
      </c>
      <c r="K49">
        <v>0</v>
      </c>
    </row>
    <row r="50" spans="2:11" x14ac:dyDescent="0.25">
      <c r="B50">
        <v>1276</v>
      </c>
      <c r="C50">
        <v>0</v>
      </c>
      <c r="D50">
        <v>1033</v>
      </c>
      <c r="E50">
        <v>0</v>
      </c>
      <c r="F50">
        <v>929</v>
      </c>
      <c r="G50">
        <v>100000</v>
      </c>
      <c r="H50">
        <v>738</v>
      </c>
      <c r="I50">
        <v>0</v>
      </c>
      <c r="J50">
        <v>298</v>
      </c>
      <c r="K50">
        <v>0</v>
      </c>
    </row>
    <row r="51" spans="2:11" x14ac:dyDescent="0.25">
      <c r="B51">
        <v>1256</v>
      </c>
      <c r="C51">
        <v>0</v>
      </c>
      <c r="D51">
        <v>1047</v>
      </c>
      <c r="E51">
        <v>0</v>
      </c>
      <c r="F51">
        <v>894</v>
      </c>
      <c r="G51">
        <v>100000</v>
      </c>
      <c r="H51">
        <v>700</v>
      </c>
      <c r="I51">
        <v>0</v>
      </c>
      <c r="J51">
        <v>305</v>
      </c>
      <c r="K51">
        <v>0</v>
      </c>
    </row>
    <row r="52" spans="2:11" x14ac:dyDescent="0.25">
      <c r="B52">
        <v>1276</v>
      </c>
      <c r="C52">
        <v>0</v>
      </c>
      <c r="D52">
        <v>1040</v>
      </c>
      <c r="E52">
        <v>0</v>
      </c>
      <c r="F52">
        <v>919</v>
      </c>
      <c r="G52">
        <v>100000</v>
      </c>
      <c r="H52">
        <v>726</v>
      </c>
      <c r="I52">
        <v>0</v>
      </c>
      <c r="J52">
        <v>304</v>
      </c>
      <c r="K52">
        <v>0</v>
      </c>
    </row>
    <row r="53" spans="2:11" x14ac:dyDescent="0.25">
      <c r="B53">
        <v>1269</v>
      </c>
      <c r="C53">
        <v>0</v>
      </c>
      <c r="D53">
        <v>1036</v>
      </c>
      <c r="E53">
        <v>0</v>
      </c>
      <c r="F53">
        <v>957</v>
      </c>
      <c r="G53">
        <v>100000</v>
      </c>
      <c r="H53">
        <v>709</v>
      </c>
      <c r="I53">
        <v>0</v>
      </c>
      <c r="J53">
        <v>321</v>
      </c>
      <c r="K53">
        <v>0</v>
      </c>
    </row>
    <row r="54" spans="2:11" x14ac:dyDescent="0.25">
      <c r="B54">
        <v>1271</v>
      </c>
      <c r="C54">
        <v>0</v>
      </c>
      <c r="D54">
        <v>1027</v>
      </c>
      <c r="E54">
        <v>0</v>
      </c>
      <c r="F54">
        <v>884</v>
      </c>
      <c r="G54">
        <v>100000</v>
      </c>
      <c r="H54">
        <v>728</v>
      </c>
      <c r="I54">
        <v>0</v>
      </c>
      <c r="J54">
        <v>314</v>
      </c>
      <c r="K54">
        <v>0</v>
      </c>
    </row>
    <row r="55" spans="2:11" x14ac:dyDescent="0.25">
      <c r="B55">
        <v>1286</v>
      </c>
      <c r="C55">
        <v>0</v>
      </c>
      <c r="D55">
        <v>1030</v>
      </c>
      <c r="E55">
        <v>0</v>
      </c>
      <c r="F55">
        <v>929</v>
      </c>
      <c r="G55">
        <v>100000</v>
      </c>
      <c r="H55">
        <v>742</v>
      </c>
      <c r="I55">
        <v>0</v>
      </c>
      <c r="J55">
        <v>316</v>
      </c>
      <c r="K55">
        <v>0</v>
      </c>
    </row>
    <row r="56" spans="2:11" x14ac:dyDescent="0.25">
      <c r="B56">
        <v>1327</v>
      </c>
      <c r="C56">
        <v>0</v>
      </c>
      <c r="D56">
        <v>1030</v>
      </c>
      <c r="E56">
        <v>0</v>
      </c>
      <c r="F56">
        <v>967</v>
      </c>
      <c r="G56">
        <v>100000</v>
      </c>
      <c r="H56">
        <v>718</v>
      </c>
      <c r="I56">
        <v>0</v>
      </c>
      <c r="J56">
        <v>328</v>
      </c>
      <c r="K56">
        <v>0</v>
      </c>
    </row>
    <row r="57" spans="2:11" x14ac:dyDescent="0.25">
      <c r="B57">
        <v>1263</v>
      </c>
      <c r="C57">
        <v>0</v>
      </c>
      <c r="D57">
        <v>1035</v>
      </c>
      <c r="E57">
        <v>0</v>
      </c>
      <c r="F57">
        <v>896</v>
      </c>
      <c r="G57">
        <v>100000</v>
      </c>
      <c r="H57">
        <v>736</v>
      </c>
      <c r="I57">
        <v>0</v>
      </c>
      <c r="J57">
        <v>378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13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AVERAGE(SmallValuesSerialization[Newtonsoft (duration)])</f>
        <v>312.7</v>
      </c>
      <c r="H5" s="2">
        <f>AVERAGE(SmallValuesSerialization[Jil (duration)])</f>
        <v>218.5</v>
      </c>
      <c r="I5" s="2">
        <f>AVERAGE(SmallValuesSerialization[Service stack (duration)])</f>
        <v>114.9</v>
      </c>
      <c r="J5" s="2">
        <f>AVERAGE(SmallValuesSerialization[Revenj.Json (duration)])</f>
        <v>161.1</v>
      </c>
      <c r="K5" s="2">
        <f>AVERAGE(SmallValuesSerialization[Protobuf (duration)])</f>
        <v>61.6</v>
      </c>
    </row>
    <row r="6" spans="6:11" x14ac:dyDescent="0.25">
      <c r="F6" t="s">
        <v>6</v>
      </c>
      <c r="G6" s="2">
        <f>G7-G5</f>
        <v>758.59999999999991</v>
      </c>
      <c r="H6" s="2">
        <f t="shared" ref="H6:K6" si="0">H7-H5</f>
        <v>269.10000000000002</v>
      </c>
      <c r="I6" s="2">
        <f t="shared" si="0"/>
        <v>94.199999999999989</v>
      </c>
      <c r="J6" s="2">
        <f t="shared" si="0"/>
        <v>175.70000000000002</v>
      </c>
      <c r="K6" s="2">
        <f t="shared" si="0"/>
        <v>85</v>
      </c>
    </row>
    <row r="7" spans="6:11" x14ac:dyDescent="0.25">
      <c r="F7" t="s">
        <v>4</v>
      </c>
      <c r="G7" s="2">
        <f>AVERAGE(SmallValuesBoth[Newtonsoft (duration)])</f>
        <v>1071.3</v>
      </c>
      <c r="H7" s="2">
        <f>AVERAGE(SmallValuesBoth[Jil (duration)])</f>
        <v>487.6</v>
      </c>
      <c r="I7" s="2">
        <f>AVERAGE(SmallValuesBoth[Service stack (duration)])</f>
        <v>209.1</v>
      </c>
      <c r="J7" s="2">
        <f>AVERAGE(SmallValuesBoth[Revenj.Json (duration)])</f>
        <v>336.8</v>
      </c>
      <c r="K7" s="2">
        <f>AVERAGE(SmallValuesBoth[Protobuf (duration)])</f>
        <v>146.6</v>
      </c>
    </row>
    <row r="8" spans="6:11" x14ac:dyDescent="0.25">
      <c r="F8" t="s">
        <v>19</v>
      </c>
      <c r="G8" s="2">
        <f>AVERAGE(SmallValuesBoth[Newtonsoft (errors)])</f>
        <v>0</v>
      </c>
      <c r="H8" s="2">
        <f>AVERAGE(SmallValuesBoth[Jil (errors)])</f>
        <v>0</v>
      </c>
      <c r="I8" s="2">
        <f>AVERAGE(SmallValuesBoth[Service stack (errors)])</f>
        <v>99999</v>
      </c>
      <c r="J8" s="2">
        <f>AVERAGE(SmallValuesBoth[Revenj.Json (errors)])</f>
        <v>0</v>
      </c>
      <c r="K8" s="2">
        <f>AVERAGE(SmallValuesBoth[Protobuf (errors)])</f>
        <v>0</v>
      </c>
    </row>
    <row r="9" spans="6:11" x14ac:dyDescent="0.25">
      <c r="F9" t="s">
        <v>20</v>
      </c>
      <c r="G9" s="2">
        <f>AVERAGE(SmallValuesSerialization[Newtonsoft (size)])</f>
        <v>26</v>
      </c>
      <c r="H9" s="2">
        <f>AVERAGE(SmallValuesSerialization[Jil (size)])</f>
        <v>22</v>
      </c>
      <c r="I9" s="2">
        <f>AVERAGE(SmallValuesSerialization[Service stack (size)])</f>
        <v>2</v>
      </c>
      <c r="J9" s="2">
        <f>AVERAGE(SmallValuesSerialization[Revenj.Json (size)])</f>
        <v>22</v>
      </c>
      <c r="K9" s="2">
        <f>AVERAGE(SmallValuesSerialization[Protobuf (size)])</f>
        <v>14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DEVSQ(SmallValuesSerialization[Newtonsoft (duration)])</f>
        <v>1696.1</v>
      </c>
      <c r="H13" s="2">
        <f>DEVSQ(SmallValuesSerialization[Jil (duration)])</f>
        <v>1184.5</v>
      </c>
      <c r="I13" s="2">
        <f>DEVSQ(SmallValuesSerialization[Service stack (duration)])</f>
        <v>322.89999999999998</v>
      </c>
      <c r="J13" s="2">
        <f>DEVSQ(SmallValuesSerialization[Revenj.Json (duration)])</f>
        <v>840.9</v>
      </c>
      <c r="K13" s="2">
        <f>DEVSQ(SmallValuesSerialization[Protobuf (duration)])</f>
        <v>72.399999999999977</v>
      </c>
    </row>
    <row r="14" spans="6:11" x14ac:dyDescent="0.25">
      <c r="F14" t="s">
        <v>4</v>
      </c>
      <c r="G14" s="2">
        <f>DEVSQ(SmallValuesBoth[Newtonsoft (duration)])</f>
        <v>8978.1</v>
      </c>
      <c r="H14" s="2">
        <f>DEVSQ(SmallValuesBoth[Jil (duration)])</f>
        <v>4390.3999999999996</v>
      </c>
      <c r="I14" s="2">
        <f>DEVSQ(SmallValuesBoth[Service stack (duration)])</f>
        <v>1288.9000000000003</v>
      </c>
      <c r="J14" s="2">
        <f>DEVSQ(SmallValuesBoth[Revenj.Json (duration)])</f>
        <v>417.60000000000014</v>
      </c>
      <c r="K14" s="2">
        <f>DEVSQ(SmallValuesBoth[Protobuf (duration)])</f>
        <v>388.40000000000015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308</v>
      </c>
      <c r="C35">
        <v>26</v>
      </c>
      <c r="D35">
        <v>0</v>
      </c>
      <c r="E35">
        <v>216</v>
      </c>
      <c r="F35">
        <v>22</v>
      </c>
      <c r="G35">
        <v>0</v>
      </c>
      <c r="H35">
        <v>112</v>
      </c>
      <c r="I35">
        <v>2</v>
      </c>
      <c r="J35">
        <v>0</v>
      </c>
      <c r="K35">
        <v>155</v>
      </c>
      <c r="L35">
        <v>22</v>
      </c>
      <c r="M35">
        <v>0</v>
      </c>
      <c r="N35">
        <v>60</v>
      </c>
      <c r="O35">
        <v>14</v>
      </c>
      <c r="P35">
        <v>0</v>
      </c>
    </row>
    <row r="36" spans="2:16" x14ac:dyDescent="0.25">
      <c r="B36">
        <v>313</v>
      </c>
      <c r="C36">
        <v>26</v>
      </c>
      <c r="D36">
        <v>0</v>
      </c>
      <c r="E36">
        <v>208</v>
      </c>
      <c r="F36">
        <v>22</v>
      </c>
      <c r="G36">
        <v>0</v>
      </c>
      <c r="H36">
        <v>113</v>
      </c>
      <c r="I36">
        <v>2</v>
      </c>
      <c r="J36">
        <v>0</v>
      </c>
      <c r="K36">
        <v>161</v>
      </c>
      <c r="L36">
        <v>22</v>
      </c>
      <c r="M36">
        <v>0</v>
      </c>
      <c r="N36">
        <v>69</v>
      </c>
      <c r="O36">
        <v>14</v>
      </c>
      <c r="P36">
        <v>0</v>
      </c>
    </row>
    <row r="37" spans="2:16" x14ac:dyDescent="0.25">
      <c r="B37">
        <v>305</v>
      </c>
      <c r="C37">
        <v>26</v>
      </c>
      <c r="D37">
        <v>0</v>
      </c>
      <c r="E37">
        <v>216</v>
      </c>
      <c r="F37">
        <v>22</v>
      </c>
      <c r="G37">
        <v>0</v>
      </c>
      <c r="H37">
        <v>112</v>
      </c>
      <c r="I37">
        <v>2</v>
      </c>
      <c r="J37">
        <v>0</v>
      </c>
      <c r="K37">
        <v>180</v>
      </c>
      <c r="L37">
        <v>22</v>
      </c>
      <c r="M37">
        <v>0</v>
      </c>
      <c r="N37">
        <v>61</v>
      </c>
      <c r="O37">
        <v>14</v>
      </c>
      <c r="P37">
        <v>0</v>
      </c>
    </row>
    <row r="38" spans="2:16" x14ac:dyDescent="0.25">
      <c r="B38">
        <v>302</v>
      </c>
      <c r="C38">
        <v>26</v>
      </c>
      <c r="D38">
        <v>0</v>
      </c>
      <c r="E38">
        <v>221</v>
      </c>
      <c r="F38">
        <v>22</v>
      </c>
      <c r="G38">
        <v>0</v>
      </c>
      <c r="H38">
        <v>120</v>
      </c>
      <c r="I38">
        <v>2</v>
      </c>
      <c r="J38">
        <v>0</v>
      </c>
      <c r="K38">
        <v>159</v>
      </c>
      <c r="L38">
        <v>22</v>
      </c>
      <c r="M38">
        <v>0</v>
      </c>
      <c r="N38">
        <v>62</v>
      </c>
      <c r="O38">
        <v>14</v>
      </c>
      <c r="P38">
        <v>0</v>
      </c>
    </row>
    <row r="39" spans="2:16" x14ac:dyDescent="0.25">
      <c r="B39">
        <v>317</v>
      </c>
      <c r="C39">
        <v>26</v>
      </c>
      <c r="D39">
        <v>0</v>
      </c>
      <c r="E39">
        <v>234</v>
      </c>
      <c r="F39">
        <v>22</v>
      </c>
      <c r="G39">
        <v>0</v>
      </c>
      <c r="H39">
        <v>112</v>
      </c>
      <c r="I39">
        <v>2</v>
      </c>
      <c r="J39">
        <v>0</v>
      </c>
      <c r="K39">
        <v>155</v>
      </c>
      <c r="L39">
        <v>22</v>
      </c>
      <c r="M39">
        <v>0</v>
      </c>
      <c r="N39">
        <v>59</v>
      </c>
      <c r="O39">
        <v>14</v>
      </c>
      <c r="P39">
        <v>0</v>
      </c>
    </row>
    <row r="40" spans="2:16" x14ac:dyDescent="0.25">
      <c r="B40">
        <v>316</v>
      </c>
      <c r="C40">
        <v>26</v>
      </c>
      <c r="D40">
        <v>0</v>
      </c>
      <c r="E40">
        <v>209</v>
      </c>
      <c r="F40">
        <v>22</v>
      </c>
      <c r="G40">
        <v>0</v>
      </c>
      <c r="H40">
        <v>111</v>
      </c>
      <c r="I40">
        <v>2</v>
      </c>
      <c r="J40">
        <v>0</v>
      </c>
      <c r="K40">
        <v>156</v>
      </c>
      <c r="L40">
        <v>22</v>
      </c>
      <c r="M40">
        <v>0</v>
      </c>
      <c r="N40">
        <v>61</v>
      </c>
      <c r="O40">
        <v>14</v>
      </c>
      <c r="P40">
        <v>0</v>
      </c>
    </row>
    <row r="41" spans="2:16" x14ac:dyDescent="0.25">
      <c r="B41">
        <v>347</v>
      </c>
      <c r="C41">
        <v>26</v>
      </c>
      <c r="D41">
        <v>0</v>
      </c>
      <c r="E41">
        <v>225</v>
      </c>
      <c r="F41">
        <v>22</v>
      </c>
      <c r="G41">
        <v>0</v>
      </c>
      <c r="H41">
        <v>110</v>
      </c>
      <c r="I41">
        <v>2</v>
      </c>
      <c r="J41">
        <v>0</v>
      </c>
      <c r="K41">
        <v>156</v>
      </c>
      <c r="L41">
        <v>22</v>
      </c>
      <c r="M41">
        <v>0</v>
      </c>
      <c r="N41">
        <v>61</v>
      </c>
      <c r="O41">
        <v>14</v>
      </c>
      <c r="P41">
        <v>0</v>
      </c>
    </row>
    <row r="42" spans="2:16" x14ac:dyDescent="0.25">
      <c r="B42">
        <v>317</v>
      </c>
      <c r="C42">
        <v>26</v>
      </c>
      <c r="D42">
        <v>0</v>
      </c>
      <c r="E42">
        <v>208</v>
      </c>
      <c r="F42">
        <v>22</v>
      </c>
      <c r="G42">
        <v>0</v>
      </c>
      <c r="H42">
        <v>115</v>
      </c>
      <c r="I42">
        <v>2</v>
      </c>
      <c r="J42">
        <v>0</v>
      </c>
      <c r="K42">
        <v>157</v>
      </c>
      <c r="L42">
        <v>22</v>
      </c>
      <c r="M42">
        <v>0</v>
      </c>
      <c r="N42">
        <v>60</v>
      </c>
      <c r="O42">
        <v>14</v>
      </c>
      <c r="P42">
        <v>0</v>
      </c>
    </row>
    <row r="43" spans="2:16" x14ac:dyDescent="0.25">
      <c r="B43">
        <v>300</v>
      </c>
      <c r="C43">
        <v>26</v>
      </c>
      <c r="D43">
        <v>0</v>
      </c>
      <c r="E43">
        <v>208</v>
      </c>
      <c r="F43">
        <v>22</v>
      </c>
      <c r="G43">
        <v>0</v>
      </c>
      <c r="H43">
        <v>130</v>
      </c>
      <c r="I43">
        <v>2</v>
      </c>
      <c r="J43">
        <v>0</v>
      </c>
      <c r="K43">
        <v>178</v>
      </c>
      <c r="L43">
        <v>22</v>
      </c>
      <c r="M43">
        <v>0</v>
      </c>
      <c r="N43">
        <v>63</v>
      </c>
      <c r="O43">
        <v>14</v>
      </c>
      <c r="P43">
        <v>0</v>
      </c>
    </row>
    <row r="44" spans="2:16" x14ac:dyDescent="0.25">
      <c r="B44">
        <v>302</v>
      </c>
      <c r="C44">
        <v>26</v>
      </c>
      <c r="D44">
        <v>0</v>
      </c>
      <c r="E44">
        <v>240</v>
      </c>
      <c r="F44">
        <v>22</v>
      </c>
      <c r="G44">
        <v>0</v>
      </c>
      <c r="H44">
        <v>114</v>
      </c>
      <c r="I44">
        <v>2</v>
      </c>
      <c r="J44">
        <v>0</v>
      </c>
      <c r="K44">
        <v>154</v>
      </c>
      <c r="L44">
        <v>22</v>
      </c>
      <c r="M44">
        <v>0</v>
      </c>
      <c r="N44">
        <v>60</v>
      </c>
      <c r="O44">
        <v>14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1069</v>
      </c>
      <c r="C48">
        <v>0</v>
      </c>
      <c r="D48">
        <v>461</v>
      </c>
      <c r="E48">
        <v>0</v>
      </c>
      <c r="F48">
        <v>204</v>
      </c>
      <c r="G48">
        <v>99999</v>
      </c>
      <c r="H48">
        <v>336</v>
      </c>
      <c r="I48">
        <v>0</v>
      </c>
      <c r="J48">
        <v>143</v>
      </c>
      <c r="K48">
        <v>0</v>
      </c>
    </row>
    <row r="49" spans="2:11" x14ac:dyDescent="0.25">
      <c r="B49">
        <v>1009</v>
      </c>
      <c r="C49">
        <v>0</v>
      </c>
      <c r="D49">
        <v>492</v>
      </c>
      <c r="E49">
        <v>0</v>
      </c>
      <c r="F49">
        <v>201</v>
      </c>
      <c r="G49">
        <v>99999</v>
      </c>
      <c r="H49">
        <v>334</v>
      </c>
      <c r="I49">
        <v>0</v>
      </c>
      <c r="J49">
        <v>161</v>
      </c>
      <c r="K49">
        <v>0</v>
      </c>
    </row>
    <row r="50" spans="2:11" x14ac:dyDescent="0.25">
      <c r="B50">
        <v>1051</v>
      </c>
      <c r="C50">
        <v>0</v>
      </c>
      <c r="D50">
        <v>490</v>
      </c>
      <c r="E50">
        <v>0</v>
      </c>
      <c r="F50">
        <v>202</v>
      </c>
      <c r="G50">
        <v>99999</v>
      </c>
      <c r="H50">
        <v>353</v>
      </c>
      <c r="I50">
        <v>0</v>
      </c>
      <c r="J50">
        <v>156</v>
      </c>
      <c r="K50">
        <v>0</v>
      </c>
    </row>
    <row r="51" spans="2:11" x14ac:dyDescent="0.25">
      <c r="B51">
        <v>1081</v>
      </c>
      <c r="C51">
        <v>0</v>
      </c>
      <c r="D51">
        <v>464</v>
      </c>
      <c r="E51">
        <v>0</v>
      </c>
      <c r="F51">
        <v>240</v>
      </c>
      <c r="G51">
        <v>99999</v>
      </c>
      <c r="H51">
        <v>343</v>
      </c>
      <c r="I51">
        <v>0</v>
      </c>
      <c r="J51">
        <v>144</v>
      </c>
      <c r="K51">
        <v>0</v>
      </c>
    </row>
    <row r="52" spans="2:11" x14ac:dyDescent="0.25">
      <c r="B52">
        <v>1051</v>
      </c>
      <c r="C52">
        <v>0</v>
      </c>
      <c r="D52">
        <v>470</v>
      </c>
      <c r="E52">
        <v>0</v>
      </c>
      <c r="F52">
        <v>207</v>
      </c>
      <c r="G52">
        <v>99999</v>
      </c>
      <c r="H52">
        <v>339</v>
      </c>
      <c r="I52">
        <v>0</v>
      </c>
      <c r="J52">
        <v>141</v>
      </c>
      <c r="K52">
        <v>0</v>
      </c>
    </row>
    <row r="53" spans="2:11" x14ac:dyDescent="0.25">
      <c r="B53">
        <v>1052</v>
      </c>
      <c r="C53">
        <v>0</v>
      </c>
      <c r="D53">
        <v>521</v>
      </c>
      <c r="E53">
        <v>0</v>
      </c>
      <c r="F53">
        <v>203</v>
      </c>
      <c r="G53">
        <v>99999</v>
      </c>
      <c r="H53">
        <v>335</v>
      </c>
      <c r="I53">
        <v>0</v>
      </c>
      <c r="J53">
        <v>143</v>
      </c>
      <c r="K53">
        <v>0</v>
      </c>
    </row>
    <row r="54" spans="2:11" x14ac:dyDescent="0.25">
      <c r="B54">
        <v>1092</v>
      </c>
      <c r="C54">
        <v>0</v>
      </c>
      <c r="D54">
        <v>518</v>
      </c>
      <c r="E54">
        <v>0</v>
      </c>
      <c r="F54">
        <v>204</v>
      </c>
      <c r="G54">
        <v>99999</v>
      </c>
      <c r="H54">
        <v>332</v>
      </c>
      <c r="I54">
        <v>0</v>
      </c>
      <c r="J54">
        <v>146</v>
      </c>
      <c r="K54">
        <v>0</v>
      </c>
    </row>
    <row r="55" spans="2:11" x14ac:dyDescent="0.25">
      <c r="B55">
        <v>1117</v>
      </c>
      <c r="C55">
        <v>0</v>
      </c>
      <c r="D55">
        <v>476</v>
      </c>
      <c r="E55">
        <v>0</v>
      </c>
      <c r="F55">
        <v>206</v>
      </c>
      <c r="G55">
        <v>99999</v>
      </c>
      <c r="H55">
        <v>334</v>
      </c>
      <c r="I55">
        <v>0</v>
      </c>
      <c r="J55">
        <v>142</v>
      </c>
      <c r="K55">
        <v>0</v>
      </c>
    </row>
    <row r="56" spans="2:11" x14ac:dyDescent="0.25">
      <c r="B56">
        <v>1103</v>
      </c>
      <c r="C56">
        <v>0</v>
      </c>
      <c r="D56">
        <v>509</v>
      </c>
      <c r="E56">
        <v>0</v>
      </c>
      <c r="F56">
        <v>219</v>
      </c>
      <c r="G56">
        <v>99999</v>
      </c>
      <c r="H56">
        <v>332</v>
      </c>
      <c r="I56">
        <v>0</v>
      </c>
      <c r="J56">
        <v>146</v>
      </c>
      <c r="K56">
        <v>0</v>
      </c>
    </row>
    <row r="57" spans="2:11" x14ac:dyDescent="0.25">
      <c r="B57">
        <v>1088</v>
      </c>
      <c r="C57">
        <v>0</v>
      </c>
      <c r="D57">
        <v>475</v>
      </c>
      <c r="E57">
        <v>0</v>
      </c>
      <c r="F57">
        <v>205</v>
      </c>
      <c r="G57">
        <v>99999</v>
      </c>
      <c r="H57">
        <v>330</v>
      </c>
      <c r="I57">
        <v>0</v>
      </c>
      <c r="J57">
        <v>144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14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AVERAGE(SmallAggregatesSerialization[Newtonsoft (duration)])</f>
        <v>903.2</v>
      </c>
      <c r="H5" s="2">
        <f>AVERAGE(SmallAggregatesSerialization[Jil (duration)])</f>
        <v>637.9</v>
      </c>
      <c r="I5" s="2">
        <f>AVERAGE(SmallAggregatesSerialization[Service stack (duration)])</f>
        <v>420.7</v>
      </c>
      <c r="J5" s="2">
        <f>AVERAGE(SmallAggregatesSerialization[Revenj.Json (duration)])</f>
        <v>467.3</v>
      </c>
      <c r="K5" s="2">
        <f>AVERAGE(SmallAggregatesSerialization[Protobuf (duration)])</f>
        <v>327.3</v>
      </c>
    </row>
    <row r="6" spans="6:11" x14ac:dyDescent="0.25">
      <c r="F6" t="s">
        <v>6</v>
      </c>
      <c r="G6" s="2">
        <f>G7-G5</f>
        <v>1151.9999999999998</v>
      </c>
      <c r="H6" s="2">
        <f t="shared" ref="H6:K6" si="0">H7-H5</f>
        <v>473.30000000000007</v>
      </c>
      <c r="I6" s="2">
        <f t="shared" si="0"/>
        <v>280.40000000000003</v>
      </c>
      <c r="J6" s="2">
        <f t="shared" si="0"/>
        <v>236.8</v>
      </c>
      <c r="K6" s="2">
        <f t="shared" si="0"/>
        <v>303.90000000000003</v>
      </c>
    </row>
    <row r="7" spans="6:11" x14ac:dyDescent="0.25">
      <c r="F7" t="s">
        <v>4</v>
      </c>
      <c r="G7" s="2">
        <f>AVERAGE(SmallAggregatesBoth[Newtonsoft (duration)])</f>
        <v>2055.1999999999998</v>
      </c>
      <c r="H7" s="2">
        <f>AVERAGE(SmallAggregatesBoth[Jil (duration)])</f>
        <v>1111.2</v>
      </c>
      <c r="I7" s="2">
        <f>AVERAGE(SmallAggregatesBoth[Service stack (duration)])</f>
        <v>701.1</v>
      </c>
      <c r="J7" s="2">
        <f>AVERAGE(SmallAggregatesBoth[Revenj.Json (duration)])</f>
        <v>704.1</v>
      </c>
      <c r="K7" s="2">
        <f>AVERAGE(SmallAggregatesBoth[Protobuf (duration)])</f>
        <v>631.20000000000005</v>
      </c>
    </row>
    <row r="8" spans="6:11" x14ac:dyDescent="0.25">
      <c r="F8" t="s">
        <v>19</v>
      </c>
      <c r="G8" s="2">
        <f>AVERAGE(SmallAggregatesBoth[Newtonsoft (errors)])</f>
        <v>0</v>
      </c>
      <c r="H8" s="2">
        <f>AVERAGE(SmallAggregatesBoth[Jil (errors)])</f>
        <v>100000</v>
      </c>
      <c r="I8" s="2">
        <f>AVERAGE(SmallAggregatesBoth[Service stack (errors)])</f>
        <v>100000</v>
      </c>
      <c r="J8" s="2">
        <f>AVERAGE(SmallAggregatesBoth[Revenj.Json (errors)])</f>
        <v>0</v>
      </c>
      <c r="K8" s="2">
        <f>AVERAGE(SmallAggregatesBoth[Protobuf (errors)])</f>
        <v>0</v>
      </c>
    </row>
    <row r="9" spans="6:11" x14ac:dyDescent="0.25">
      <c r="F9" t="s">
        <v>20</v>
      </c>
      <c r="G9" s="2">
        <f>AVERAGE(SmallAggregatesSerialization[Newtonsoft (size)])</f>
        <v>129</v>
      </c>
      <c r="H9" s="2">
        <f>AVERAGE(SmallAggregatesSerialization[Jil (size)])</f>
        <v>128</v>
      </c>
      <c r="I9" s="2">
        <f>AVERAGE(SmallAggregatesSerialization[Service stack (size)])</f>
        <v>14</v>
      </c>
      <c r="J9" s="2">
        <f>AVERAGE(SmallAggregatesSerialization[Revenj.Json (size)])</f>
        <v>115</v>
      </c>
      <c r="K9" s="2">
        <f>AVERAGE(SmallAggregatesSerialization[Protobuf (size)])</f>
        <v>71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DEVSQ(SmallAggregatesSerialization[Newtonsoft (duration)])</f>
        <v>2213.5999999999995</v>
      </c>
      <c r="H13" s="2">
        <f>DEVSQ(SmallAggregatesSerialization[Jil (duration)])</f>
        <v>4210.8999999999996</v>
      </c>
      <c r="I13" s="2">
        <f>DEVSQ(SmallAggregatesSerialization[Service stack (duration)])</f>
        <v>26710.1</v>
      </c>
      <c r="J13" s="2">
        <f>DEVSQ(SmallAggregatesSerialization[Revenj.Json (duration)])</f>
        <v>3046.1000000000004</v>
      </c>
      <c r="K13" s="2">
        <f>DEVSQ(SmallAggregatesSerialization[Protobuf (duration)])</f>
        <v>210.09999999999997</v>
      </c>
    </row>
    <row r="14" spans="6:11" x14ac:dyDescent="0.25">
      <c r="F14" t="s">
        <v>4</v>
      </c>
      <c r="G14" s="2">
        <f>DEVSQ(SmallAggregatesBoth[Newtonsoft (duration)])</f>
        <v>11165.599999999999</v>
      </c>
      <c r="H14" s="2">
        <f>DEVSQ(SmallAggregatesBoth[Jil (duration)])</f>
        <v>5235.6000000000004</v>
      </c>
      <c r="I14" s="2">
        <f>DEVSQ(SmallAggregatesBoth[Service stack (duration)])</f>
        <v>1952.8999999999999</v>
      </c>
      <c r="J14" s="2">
        <f>DEVSQ(SmallAggregatesBoth[Revenj.Json (duration)])</f>
        <v>1736.8999999999999</v>
      </c>
      <c r="K14" s="2">
        <f>DEVSQ(SmallAggregatesBoth[Protobuf (duration)])</f>
        <v>1251.5999999999999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898</v>
      </c>
      <c r="C35">
        <v>129</v>
      </c>
      <c r="D35">
        <v>0</v>
      </c>
      <c r="E35">
        <v>616</v>
      </c>
      <c r="F35">
        <v>128</v>
      </c>
      <c r="G35">
        <v>0</v>
      </c>
      <c r="H35">
        <v>435</v>
      </c>
      <c r="I35">
        <v>14</v>
      </c>
      <c r="J35">
        <v>0</v>
      </c>
      <c r="K35">
        <v>451</v>
      </c>
      <c r="L35">
        <v>115</v>
      </c>
      <c r="M35">
        <v>0</v>
      </c>
      <c r="N35">
        <v>330</v>
      </c>
      <c r="O35">
        <v>71</v>
      </c>
      <c r="P35">
        <v>0</v>
      </c>
    </row>
    <row r="36" spans="2:16" x14ac:dyDescent="0.25">
      <c r="B36">
        <v>927</v>
      </c>
      <c r="C36">
        <v>129</v>
      </c>
      <c r="D36">
        <v>0</v>
      </c>
      <c r="E36">
        <v>653</v>
      </c>
      <c r="F36">
        <v>128</v>
      </c>
      <c r="G36">
        <v>0</v>
      </c>
      <c r="H36">
        <v>391</v>
      </c>
      <c r="I36">
        <v>14</v>
      </c>
      <c r="J36">
        <v>0</v>
      </c>
      <c r="K36">
        <v>482</v>
      </c>
      <c r="L36">
        <v>115</v>
      </c>
      <c r="M36">
        <v>0</v>
      </c>
      <c r="N36">
        <v>337</v>
      </c>
      <c r="O36">
        <v>71</v>
      </c>
      <c r="P36">
        <v>0</v>
      </c>
    </row>
    <row r="37" spans="2:16" x14ac:dyDescent="0.25">
      <c r="B37">
        <v>900</v>
      </c>
      <c r="C37">
        <v>129</v>
      </c>
      <c r="D37">
        <v>0</v>
      </c>
      <c r="E37">
        <v>652</v>
      </c>
      <c r="F37">
        <v>128</v>
      </c>
      <c r="G37">
        <v>0</v>
      </c>
      <c r="H37">
        <v>401</v>
      </c>
      <c r="I37">
        <v>14</v>
      </c>
      <c r="J37">
        <v>0</v>
      </c>
      <c r="K37">
        <v>455</v>
      </c>
      <c r="L37">
        <v>115</v>
      </c>
      <c r="M37">
        <v>0</v>
      </c>
      <c r="N37">
        <v>320</v>
      </c>
      <c r="O37">
        <v>71</v>
      </c>
      <c r="P37">
        <v>0</v>
      </c>
    </row>
    <row r="38" spans="2:16" x14ac:dyDescent="0.25">
      <c r="B38">
        <v>884</v>
      </c>
      <c r="C38">
        <v>129</v>
      </c>
      <c r="D38">
        <v>0</v>
      </c>
      <c r="E38">
        <v>636</v>
      </c>
      <c r="F38">
        <v>128</v>
      </c>
      <c r="G38">
        <v>0</v>
      </c>
      <c r="H38">
        <v>394</v>
      </c>
      <c r="I38">
        <v>14</v>
      </c>
      <c r="J38">
        <v>0</v>
      </c>
      <c r="K38">
        <v>478</v>
      </c>
      <c r="L38">
        <v>115</v>
      </c>
      <c r="M38">
        <v>0</v>
      </c>
      <c r="N38">
        <v>328</v>
      </c>
      <c r="O38">
        <v>71</v>
      </c>
      <c r="P38">
        <v>0</v>
      </c>
    </row>
    <row r="39" spans="2:16" x14ac:dyDescent="0.25">
      <c r="B39">
        <v>899</v>
      </c>
      <c r="C39">
        <v>129</v>
      </c>
      <c r="D39">
        <v>0</v>
      </c>
      <c r="E39">
        <v>622</v>
      </c>
      <c r="F39">
        <v>128</v>
      </c>
      <c r="G39">
        <v>0</v>
      </c>
      <c r="H39">
        <v>571</v>
      </c>
      <c r="I39">
        <v>14</v>
      </c>
      <c r="J39">
        <v>0</v>
      </c>
      <c r="K39">
        <v>461</v>
      </c>
      <c r="L39">
        <v>115</v>
      </c>
      <c r="M39">
        <v>0</v>
      </c>
      <c r="N39">
        <v>328</v>
      </c>
      <c r="O39">
        <v>71</v>
      </c>
      <c r="P39">
        <v>0</v>
      </c>
    </row>
    <row r="40" spans="2:16" x14ac:dyDescent="0.25">
      <c r="B40">
        <v>923</v>
      </c>
      <c r="C40">
        <v>129</v>
      </c>
      <c r="D40">
        <v>0</v>
      </c>
      <c r="E40">
        <v>644</v>
      </c>
      <c r="F40">
        <v>128</v>
      </c>
      <c r="G40">
        <v>0</v>
      </c>
      <c r="H40">
        <v>414</v>
      </c>
      <c r="I40">
        <v>14</v>
      </c>
      <c r="J40">
        <v>0</v>
      </c>
      <c r="K40">
        <v>487</v>
      </c>
      <c r="L40">
        <v>115</v>
      </c>
      <c r="M40">
        <v>0</v>
      </c>
      <c r="N40">
        <v>328</v>
      </c>
      <c r="O40">
        <v>71</v>
      </c>
      <c r="P40">
        <v>0</v>
      </c>
    </row>
    <row r="41" spans="2:16" x14ac:dyDescent="0.25">
      <c r="B41">
        <v>906</v>
      </c>
      <c r="C41">
        <v>129</v>
      </c>
      <c r="D41">
        <v>0</v>
      </c>
      <c r="E41">
        <v>626</v>
      </c>
      <c r="F41">
        <v>128</v>
      </c>
      <c r="G41">
        <v>0</v>
      </c>
      <c r="H41">
        <v>397</v>
      </c>
      <c r="I41">
        <v>14</v>
      </c>
      <c r="J41">
        <v>0</v>
      </c>
      <c r="K41">
        <v>469</v>
      </c>
      <c r="L41">
        <v>115</v>
      </c>
      <c r="M41">
        <v>0</v>
      </c>
      <c r="N41">
        <v>323</v>
      </c>
      <c r="O41">
        <v>71</v>
      </c>
      <c r="P41">
        <v>0</v>
      </c>
    </row>
    <row r="42" spans="2:16" x14ac:dyDescent="0.25">
      <c r="B42">
        <v>911</v>
      </c>
      <c r="C42">
        <v>129</v>
      </c>
      <c r="D42">
        <v>0</v>
      </c>
      <c r="E42">
        <v>686</v>
      </c>
      <c r="F42">
        <v>128</v>
      </c>
      <c r="G42">
        <v>0</v>
      </c>
      <c r="H42">
        <v>391</v>
      </c>
      <c r="I42">
        <v>14</v>
      </c>
      <c r="J42">
        <v>0</v>
      </c>
      <c r="K42">
        <v>449</v>
      </c>
      <c r="L42">
        <v>115</v>
      </c>
      <c r="M42">
        <v>0</v>
      </c>
      <c r="N42">
        <v>322</v>
      </c>
      <c r="O42">
        <v>71</v>
      </c>
      <c r="P42">
        <v>0</v>
      </c>
    </row>
    <row r="43" spans="2:16" x14ac:dyDescent="0.25">
      <c r="B43">
        <v>908</v>
      </c>
      <c r="C43">
        <v>129</v>
      </c>
      <c r="D43">
        <v>0</v>
      </c>
      <c r="E43">
        <v>627</v>
      </c>
      <c r="F43">
        <v>128</v>
      </c>
      <c r="G43">
        <v>0</v>
      </c>
      <c r="H43">
        <v>402</v>
      </c>
      <c r="I43">
        <v>14</v>
      </c>
      <c r="J43">
        <v>0</v>
      </c>
      <c r="K43">
        <v>443</v>
      </c>
      <c r="L43">
        <v>115</v>
      </c>
      <c r="M43">
        <v>0</v>
      </c>
      <c r="N43">
        <v>327</v>
      </c>
      <c r="O43">
        <v>71</v>
      </c>
      <c r="P43">
        <v>0</v>
      </c>
    </row>
    <row r="44" spans="2:16" x14ac:dyDescent="0.25">
      <c r="B44">
        <v>876</v>
      </c>
      <c r="C44">
        <v>129</v>
      </c>
      <c r="D44">
        <v>0</v>
      </c>
      <c r="E44">
        <v>617</v>
      </c>
      <c r="F44">
        <v>128</v>
      </c>
      <c r="G44">
        <v>0</v>
      </c>
      <c r="H44">
        <v>411</v>
      </c>
      <c r="I44">
        <v>14</v>
      </c>
      <c r="J44">
        <v>0</v>
      </c>
      <c r="K44">
        <v>498</v>
      </c>
      <c r="L44">
        <v>115</v>
      </c>
      <c r="M44">
        <v>0</v>
      </c>
      <c r="N44">
        <v>330</v>
      </c>
      <c r="O44">
        <v>71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2048</v>
      </c>
      <c r="C48">
        <v>0</v>
      </c>
      <c r="D48">
        <v>1109</v>
      </c>
      <c r="E48">
        <v>100000</v>
      </c>
      <c r="F48">
        <v>690</v>
      </c>
      <c r="G48">
        <v>100000</v>
      </c>
      <c r="H48">
        <v>710</v>
      </c>
      <c r="I48">
        <v>0</v>
      </c>
      <c r="J48">
        <v>630</v>
      </c>
      <c r="K48">
        <v>0</v>
      </c>
    </row>
    <row r="49" spans="2:11" x14ac:dyDescent="0.25">
      <c r="B49">
        <v>1999</v>
      </c>
      <c r="C49">
        <v>0</v>
      </c>
      <c r="D49">
        <v>1117</v>
      </c>
      <c r="E49">
        <v>100000</v>
      </c>
      <c r="F49">
        <v>689</v>
      </c>
      <c r="G49">
        <v>100000</v>
      </c>
      <c r="H49">
        <v>695</v>
      </c>
      <c r="I49">
        <v>0</v>
      </c>
      <c r="J49">
        <v>626</v>
      </c>
      <c r="K49">
        <v>0</v>
      </c>
    </row>
    <row r="50" spans="2:11" x14ac:dyDescent="0.25">
      <c r="B50">
        <v>2026</v>
      </c>
      <c r="C50">
        <v>0</v>
      </c>
      <c r="D50">
        <v>1090</v>
      </c>
      <c r="E50">
        <v>100000</v>
      </c>
      <c r="F50">
        <v>684</v>
      </c>
      <c r="G50">
        <v>100000</v>
      </c>
      <c r="H50">
        <v>693</v>
      </c>
      <c r="I50">
        <v>0</v>
      </c>
      <c r="J50">
        <v>633</v>
      </c>
      <c r="K50">
        <v>0</v>
      </c>
    </row>
    <row r="51" spans="2:11" x14ac:dyDescent="0.25">
      <c r="B51">
        <v>2028</v>
      </c>
      <c r="C51">
        <v>0</v>
      </c>
      <c r="D51">
        <v>1109</v>
      </c>
      <c r="E51">
        <v>100000</v>
      </c>
      <c r="F51">
        <v>699</v>
      </c>
      <c r="G51">
        <v>100000</v>
      </c>
      <c r="H51">
        <v>700</v>
      </c>
      <c r="I51">
        <v>0</v>
      </c>
      <c r="J51">
        <v>633</v>
      </c>
      <c r="K51">
        <v>0</v>
      </c>
    </row>
    <row r="52" spans="2:11" x14ac:dyDescent="0.25">
      <c r="B52">
        <v>2067</v>
      </c>
      <c r="C52">
        <v>0</v>
      </c>
      <c r="D52">
        <v>1125</v>
      </c>
      <c r="E52">
        <v>100000</v>
      </c>
      <c r="F52">
        <v>703</v>
      </c>
      <c r="G52">
        <v>100000</v>
      </c>
      <c r="H52">
        <v>689</v>
      </c>
      <c r="I52">
        <v>0</v>
      </c>
      <c r="J52">
        <v>637</v>
      </c>
      <c r="K52">
        <v>0</v>
      </c>
    </row>
    <row r="53" spans="2:11" x14ac:dyDescent="0.25">
      <c r="B53">
        <v>2068</v>
      </c>
      <c r="C53">
        <v>0</v>
      </c>
      <c r="D53">
        <v>1095</v>
      </c>
      <c r="E53">
        <v>100000</v>
      </c>
      <c r="F53">
        <v>714</v>
      </c>
      <c r="G53">
        <v>100000</v>
      </c>
      <c r="H53">
        <v>714</v>
      </c>
      <c r="I53">
        <v>0</v>
      </c>
      <c r="J53">
        <v>628</v>
      </c>
      <c r="K53">
        <v>0</v>
      </c>
    </row>
    <row r="54" spans="2:11" x14ac:dyDescent="0.25">
      <c r="B54">
        <v>2051</v>
      </c>
      <c r="C54">
        <v>0</v>
      </c>
      <c r="D54">
        <v>1080</v>
      </c>
      <c r="E54">
        <v>100000</v>
      </c>
      <c r="F54">
        <v>710</v>
      </c>
      <c r="G54">
        <v>100000</v>
      </c>
      <c r="H54">
        <v>711</v>
      </c>
      <c r="I54">
        <v>0</v>
      </c>
      <c r="J54">
        <v>659</v>
      </c>
      <c r="K54">
        <v>0</v>
      </c>
    </row>
    <row r="55" spans="2:11" x14ac:dyDescent="0.25">
      <c r="B55">
        <v>2091</v>
      </c>
      <c r="C55">
        <v>0</v>
      </c>
      <c r="D55">
        <v>1142</v>
      </c>
      <c r="E55">
        <v>100000</v>
      </c>
      <c r="F55">
        <v>731</v>
      </c>
      <c r="G55">
        <v>100000</v>
      </c>
      <c r="H55">
        <v>719</v>
      </c>
      <c r="I55">
        <v>0</v>
      </c>
      <c r="J55">
        <v>631</v>
      </c>
      <c r="K55">
        <v>0</v>
      </c>
    </row>
    <row r="56" spans="2:11" x14ac:dyDescent="0.25">
      <c r="B56">
        <v>2124</v>
      </c>
      <c r="C56">
        <v>0</v>
      </c>
      <c r="D56">
        <v>1155</v>
      </c>
      <c r="E56">
        <v>100000</v>
      </c>
      <c r="F56">
        <v>686</v>
      </c>
      <c r="G56">
        <v>100000</v>
      </c>
      <c r="H56">
        <v>684</v>
      </c>
      <c r="I56">
        <v>0</v>
      </c>
      <c r="J56">
        <v>621</v>
      </c>
      <c r="K56">
        <v>0</v>
      </c>
    </row>
    <row r="57" spans="2:11" x14ac:dyDescent="0.25">
      <c r="B57">
        <v>2050</v>
      </c>
      <c r="C57">
        <v>0</v>
      </c>
      <c r="D57">
        <v>1090</v>
      </c>
      <c r="E57">
        <v>100000</v>
      </c>
      <c r="F57">
        <v>705</v>
      </c>
      <c r="G57">
        <v>100000</v>
      </c>
      <c r="H57">
        <v>726</v>
      </c>
      <c r="I57">
        <v>0</v>
      </c>
      <c r="J57">
        <v>614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15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AVERAGE(StandardEventsSerialization[Newtonsoft (duration)])</f>
        <v>4922</v>
      </c>
      <c r="H5" s="2">
        <f>AVERAGE(StandardEventsSerialization[Jil (duration)])</f>
        <v>-1</v>
      </c>
      <c r="I5" s="2">
        <f>AVERAGE(StandardEventsSerialization[Service stack (duration)])</f>
        <v>879.1</v>
      </c>
      <c r="J5" s="2">
        <f>AVERAGE(StandardEventsSerialization[Revenj.Json (duration)])</f>
        <v>2952.8</v>
      </c>
      <c r="K5" s="2">
        <f>AVERAGE(StandardEventsSerialization[Protobuf (duration)])</f>
        <v>1263.8</v>
      </c>
    </row>
    <row r="6" spans="6:11" x14ac:dyDescent="0.25">
      <c r="F6" t="s">
        <v>6</v>
      </c>
      <c r="G6" s="2">
        <f>G7-G5</f>
        <v>5908.6</v>
      </c>
      <c r="H6" s="2">
        <f t="shared" ref="H6:K6" si="0">H7-H5</f>
        <v>0</v>
      </c>
      <c r="I6" s="2">
        <f t="shared" si="0"/>
        <v>108.5</v>
      </c>
      <c r="J6" s="2">
        <f t="shared" si="0"/>
        <v>2301.1999999999998</v>
      </c>
      <c r="K6" s="2">
        <f t="shared" si="0"/>
        <v>1260.7</v>
      </c>
    </row>
    <row r="7" spans="6:11" x14ac:dyDescent="0.25">
      <c r="F7" t="s">
        <v>4</v>
      </c>
      <c r="G7" s="2">
        <f>AVERAGE(StandardEventsBoth[Newtonsoft (duration)])</f>
        <v>10830.6</v>
      </c>
      <c r="H7" s="2">
        <f>AVERAGE(StandardEventsBoth[Jil (duration)])</f>
        <v>-1</v>
      </c>
      <c r="I7" s="2">
        <f>AVERAGE(StandardEventsBoth[Service stack (duration)])</f>
        <v>987.6</v>
      </c>
      <c r="J7" s="2">
        <f>AVERAGE(StandardEventsBoth[Revenj.Json (duration)])</f>
        <v>5254</v>
      </c>
      <c r="K7" s="2">
        <f>AVERAGE(StandardEventsBoth[Protobuf (duration)])</f>
        <v>2524.5</v>
      </c>
    </row>
    <row r="8" spans="6:11" x14ac:dyDescent="0.25">
      <c r="F8" t="s">
        <v>19</v>
      </c>
      <c r="G8" s="2">
        <f>AVERAGE(StandardEventsBoth[Newtonsoft (errors)])</f>
        <v>0</v>
      </c>
      <c r="H8" s="2">
        <f>AVERAGE(StandardEventsBoth[Jil (errors)])</f>
        <v>10000</v>
      </c>
      <c r="I8" s="2">
        <f>AVERAGE(StandardEventsBoth[Service stack (errors)])</f>
        <v>10000</v>
      </c>
      <c r="J8" s="2">
        <f>AVERAGE(StandardEventsBoth[Revenj.Json (errors)])</f>
        <v>0</v>
      </c>
      <c r="K8" s="2">
        <f>AVERAGE(StandardEventsBoth[Protobuf (errors)])</f>
        <v>0</v>
      </c>
    </row>
    <row r="9" spans="6:11" x14ac:dyDescent="0.25">
      <c r="F9" t="s">
        <v>20</v>
      </c>
      <c r="G9" s="2">
        <f>AVERAGE(StandardEventsSerialization[Newtonsoft (size)])</f>
        <v>16892</v>
      </c>
      <c r="H9" s="2">
        <f>AVERAGE(StandardEventsSerialization[Jil (size)])</f>
        <v>-1</v>
      </c>
      <c r="I9" s="2">
        <f>AVERAGE(StandardEventsSerialization[Service stack (size)])</f>
        <v>34</v>
      </c>
      <c r="J9" s="2">
        <f>AVERAGE(StandardEventsSerialization[Revenj.Json (size)])</f>
        <v>16815.8</v>
      </c>
      <c r="K9" s="2">
        <f>AVERAGE(StandardEventsSerialization[Protobuf (size)])</f>
        <v>7259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DEVSQ(StandardEventsSerialization[Newtonsoft (duration)])</f>
        <v>36540</v>
      </c>
      <c r="H13" s="2">
        <f>DEVSQ(StandardEventsSerialization[Jil (duration)])</f>
        <v>0</v>
      </c>
      <c r="I13" s="2">
        <f>DEVSQ(StandardEventsSerialization[Service stack (duration)])</f>
        <v>1062.8999999999999</v>
      </c>
      <c r="J13" s="2">
        <f>DEVSQ(StandardEventsSerialization[Revenj.Json (duration)])</f>
        <v>60591.600000000006</v>
      </c>
      <c r="K13" s="2">
        <f>DEVSQ(StandardEventsSerialization[Protobuf (duration)])</f>
        <v>3397.5999999999995</v>
      </c>
    </row>
    <row r="14" spans="6:11" x14ac:dyDescent="0.25">
      <c r="F14" t="s">
        <v>4</v>
      </c>
      <c r="G14" s="2">
        <f>DEVSQ(StandardEventsBoth[Newtonsoft (duration)])</f>
        <v>74352.400000000009</v>
      </c>
      <c r="H14" s="2">
        <f>DEVSQ(StandardEventsBoth[Jil (duration)])</f>
        <v>0</v>
      </c>
      <c r="I14" s="2">
        <f>DEVSQ(StandardEventsBoth[Service stack (duration)])</f>
        <v>22510.400000000001</v>
      </c>
      <c r="J14" s="2">
        <f>DEVSQ(StandardEventsBoth[Revenj.Json (duration)])</f>
        <v>9544</v>
      </c>
      <c r="K14" s="2">
        <f>DEVSQ(StandardEventsBoth[Protobuf (duration)])</f>
        <v>5030.5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4861</v>
      </c>
      <c r="C35">
        <v>16892</v>
      </c>
      <c r="D35">
        <v>0</v>
      </c>
      <c r="E35">
        <v>-1</v>
      </c>
      <c r="F35">
        <v>-1</v>
      </c>
      <c r="G35">
        <v>10000</v>
      </c>
      <c r="H35">
        <v>898</v>
      </c>
      <c r="I35">
        <v>34</v>
      </c>
      <c r="J35">
        <v>0</v>
      </c>
      <c r="K35">
        <v>3184</v>
      </c>
      <c r="L35">
        <v>16836</v>
      </c>
      <c r="M35">
        <v>0</v>
      </c>
      <c r="N35">
        <v>1272</v>
      </c>
      <c r="O35">
        <v>7259</v>
      </c>
      <c r="P35">
        <v>0</v>
      </c>
    </row>
    <row r="36" spans="2:16" x14ac:dyDescent="0.25">
      <c r="B36">
        <v>4941</v>
      </c>
      <c r="C36">
        <v>16892</v>
      </c>
      <c r="D36">
        <v>0</v>
      </c>
      <c r="E36">
        <v>-1</v>
      </c>
      <c r="F36">
        <v>-1</v>
      </c>
      <c r="G36">
        <v>10000</v>
      </c>
      <c r="H36">
        <v>870</v>
      </c>
      <c r="I36">
        <v>34</v>
      </c>
      <c r="J36">
        <v>0</v>
      </c>
      <c r="K36">
        <v>2912</v>
      </c>
      <c r="L36">
        <v>16836</v>
      </c>
      <c r="M36">
        <v>0</v>
      </c>
      <c r="N36">
        <v>1250</v>
      </c>
      <c r="O36">
        <v>7259</v>
      </c>
      <c r="P36">
        <v>0</v>
      </c>
    </row>
    <row r="37" spans="2:16" x14ac:dyDescent="0.25">
      <c r="B37">
        <v>4958</v>
      </c>
      <c r="C37">
        <v>16892</v>
      </c>
      <c r="D37">
        <v>0</v>
      </c>
      <c r="E37">
        <v>-1</v>
      </c>
      <c r="F37">
        <v>-1</v>
      </c>
      <c r="G37">
        <v>10000</v>
      </c>
      <c r="H37">
        <v>894</v>
      </c>
      <c r="I37">
        <v>34</v>
      </c>
      <c r="J37">
        <v>0</v>
      </c>
      <c r="K37">
        <v>2920</v>
      </c>
      <c r="L37">
        <v>16836</v>
      </c>
      <c r="M37">
        <v>0</v>
      </c>
      <c r="N37">
        <v>1249</v>
      </c>
      <c r="O37">
        <v>7259</v>
      </c>
      <c r="P37">
        <v>0</v>
      </c>
    </row>
    <row r="38" spans="2:16" x14ac:dyDescent="0.25">
      <c r="B38">
        <v>4914</v>
      </c>
      <c r="C38">
        <v>16892</v>
      </c>
      <c r="D38">
        <v>0</v>
      </c>
      <c r="E38">
        <v>-1</v>
      </c>
      <c r="F38">
        <v>-1</v>
      </c>
      <c r="G38">
        <v>10000</v>
      </c>
      <c r="H38">
        <v>878</v>
      </c>
      <c r="I38">
        <v>34</v>
      </c>
      <c r="J38">
        <v>0</v>
      </c>
      <c r="K38">
        <v>2926</v>
      </c>
      <c r="L38">
        <v>16735</v>
      </c>
      <c r="M38">
        <v>0</v>
      </c>
      <c r="N38">
        <v>1254</v>
      </c>
      <c r="O38">
        <v>7259</v>
      </c>
      <c r="P38">
        <v>0</v>
      </c>
    </row>
    <row r="39" spans="2:16" x14ac:dyDescent="0.25">
      <c r="B39">
        <v>4821</v>
      </c>
      <c r="C39">
        <v>16892</v>
      </c>
      <c r="D39">
        <v>0</v>
      </c>
      <c r="E39">
        <v>-1</v>
      </c>
      <c r="F39">
        <v>-1</v>
      </c>
      <c r="G39">
        <v>10000</v>
      </c>
      <c r="H39">
        <v>883</v>
      </c>
      <c r="I39">
        <v>34</v>
      </c>
      <c r="J39">
        <v>0</v>
      </c>
      <c r="K39">
        <v>2941</v>
      </c>
      <c r="L39">
        <v>16836</v>
      </c>
      <c r="M39">
        <v>0</v>
      </c>
      <c r="N39">
        <v>1286</v>
      </c>
      <c r="O39">
        <v>7259</v>
      </c>
      <c r="P39">
        <v>0</v>
      </c>
    </row>
    <row r="40" spans="2:16" x14ac:dyDescent="0.25">
      <c r="B40">
        <v>4892</v>
      </c>
      <c r="C40">
        <v>16892</v>
      </c>
      <c r="D40">
        <v>0</v>
      </c>
      <c r="E40">
        <v>-1</v>
      </c>
      <c r="F40">
        <v>-1</v>
      </c>
      <c r="G40">
        <v>10000</v>
      </c>
      <c r="H40">
        <v>881</v>
      </c>
      <c r="I40">
        <v>34</v>
      </c>
      <c r="J40">
        <v>0</v>
      </c>
      <c r="K40">
        <v>2921</v>
      </c>
      <c r="L40">
        <v>16836</v>
      </c>
      <c r="M40">
        <v>0</v>
      </c>
      <c r="N40">
        <v>1247</v>
      </c>
      <c r="O40">
        <v>7259</v>
      </c>
      <c r="P40">
        <v>0</v>
      </c>
    </row>
    <row r="41" spans="2:16" x14ac:dyDescent="0.25">
      <c r="B41">
        <v>4973</v>
      </c>
      <c r="C41">
        <v>16892</v>
      </c>
      <c r="D41">
        <v>0</v>
      </c>
      <c r="E41">
        <v>-1</v>
      </c>
      <c r="F41">
        <v>-1</v>
      </c>
      <c r="G41">
        <v>10000</v>
      </c>
      <c r="H41">
        <v>873</v>
      </c>
      <c r="I41">
        <v>34</v>
      </c>
      <c r="J41">
        <v>0</v>
      </c>
      <c r="K41">
        <v>2914</v>
      </c>
      <c r="L41">
        <v>16836</v>
      </c>
      <c r="M41">
        <v>0</v>
      </c>
      <c r="N41">
        <v>1278</v>
      </c>
      <c r="O41">
        <v>7259</v>
      </c>
      <c r="P41">
        <v>0</v>
      </c>
    </row>
    <row r="42" spans="2:16" x14ac:dyDescent="0.25">
      <c r="B42">
        <v>4954</v>
      </c>
      <c r="C42">
        <v>16892</v>
      </c>
      <c r="D42">
        <v>0</v>
      </c>
      <c r="E42">
        <v>-1</v>
      </c>
      <c r="F42">
        <v>-1</v>
      </c>
      <c r="G42">
        <v>10000</v>
      </c>
      <c r="H42">
        <v>880</v>
      </c>
      <c r="I42">
        <v>34</v>
      </c>
      <c r="J42">
        <v>0</v>
      </c>
      <c r="K42">
        <v>2924</v>
      </c>
      <c r="L42">
        <v>16735</v>
      </c>
      <c r="M42">
        <v>0</v>
      </c>
      <c r="N42">
        <v>1248</v>
      </c>
      <c r="O42">
        <v>7259</v>
      </c>
      <c r="P42">
        <v>0</v>
      </c>
    </row>
    <row r="43" spans="2:16" x14ac:dyDescent="0.25">
      <c r="B43">
        <v>5038</v>
      </c>
      <c r="C43">
        <v>16892</v>
      </c>
      <c r="D43">
        <v>0</v>
      </c>
      <c r="E43">
        <v>-1</v>
      </c>
      <c r="F43">
        <v>-1</v>
      </c>
      <c r="G43">
        <v>10000</v>
      </c>
      <c r="H43">
        <v>872</v>
      </c>
      <c r="I43">
        <v>34</v>
      </c>
      <c r="J43">
        <v>0</v>
      </c>
      <c r="K43">
        <v>2942</v>
      </c>
      <c r="L43">
        <v>16836</v>
      </c>
      <c r="M43">
        <v>0</v>
      </c>
      <c r="N43">
        <v>1302</v>
      </c>
      <c r="O43">
        <v>7259</v>
      </c>
      <c r="P43">
        <v>0</v>
      </c>
    </row>
    <row r="44" spans="2:16" x14ac:dyDescent="0.25">
      <c r="B44">
        <v>4868</v>
      </c>
      <c r="C44">
        <v>16892</v>
      </c>
      <c r="D44">
        <v>0</v>
      </c>
      <c r="E44">
        <v>-1</v>
      </c>
      <c r="F44">
        <v>-1</v>
      </c>
      <c r="G44">
        <v>10000</v>
      </c>
      <c r="H44">
        <v>862</v>
      </c>
      <c r="I44">
        <v>34</v>
      </c>
      <c r="J44">
        <v>0</v>
      </c>
      <c r="K44">
        <v>2944</v>
      </c>
      <c r="L44">
        <v>16836</v>
      </c>
      <c r="M44">
        <v>0</v>
      </c>
      <c r="N44">
        <v>1252</v>
      </c>
      <c r="O44">
        <v>7259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10802</v>
      </c>
      <c r="C48">
        <v>0</v>
      </c>
      <c r="D48">
        <v>-1</v>
      </c>
      <c r="E48">
        <v>10000</v>
      </c>
      <c r="F48">
        <v>968</v>
      </c>
      <c r="G48">
        <v>10000</v>
      </c>
      <c r="H48">
        <v>5241</v>
      </c>
      <c r="I48">
        <v>0</v>
      </c>
      <c r="J48">
        <v>2520</v>
      </c>
      <c r="K48">
        <v>0</v>
      </c>
    </row>
    <row r="49" spans="2:11" x14ac:dyDescent="0.25">
      <c r="B49">
        <v>10894</v>
      </c>
      <c r="C49">
        <v>0</v>
      </c>
      <c r="D49">
        <v>-1</v>
      </c>
      <c r="E49">
        <v>10000</v>
      </c>
      <c r="F49">
        <v>982</v>
      </c>
      <c r="G49">
        <v>10000</v>
      </c>
      <c r="H49">
        <v>5252</v>
      </c>
      <c r="I49">
        <v>0</v>
      </c>
      <c r="J49">
        <v>2520</v>
      </c>
      <c r="K49">
        <v>0</v>
      </c>
    </row>
    <row r="50" spans="2:11" x14ac:dyDescent="0.25">
      <c r="B50">
        <v>10823</v>
      </c>
      <c r="C50">
        <v>0</v>
      </c>
      <c r="D50">
        <v>-1</v>
      </c>
      <c r="E50">
        <v>10000</v>
      </c>
      <c r="F50">
        <v>962</v>
      </c>
      <c r="G50">
        <v>10000</v>
      </c>
      <c r="H50">
        <v>5259</v>
      </c>
      <c r="I50">
        <v>0</v>
      </c>
      <c r="J50">
        <v>2524</v>
      </c>
      <c r="K50">
        <v>0</v>
      </c>
    </row>
    <row r="51" spans="2:11" x14ac:dyDescent="0.25">
      <c r="B51">
        <v>10699</v>
      </c>
      <c r="C51">
        <v>0</v>
      </c>
      <c r="D51">
        <v>-1</v>
      </c>
      <c r="E51">
        <v>10000</v>
      </c>
      <c r="F51">
        <v>965</v>
      </c>
      <c r="G51">
        <v>10000</v>
      </c>
      <c r="H51">
        <v>5202</v>
      </c>
      <c r="I51">
        <v>0</v>
      </c>
      <c r="J51">
        <v>2510</v>
      </c>
      <c r="K51">
        <v>0</v>
      </c>
    </row>
    <row r="52" spans="2:11" x14ac:dyDescent="0.25">
      <c r="B52">
        <v>10714</v>
      </c>
      <c r="C52">
        <v>0</v>
      </c>
      <c r="D52">
        <v>-1</v>
      </c>
      <c r="E52">
        <v>10000</v>
      </c>
      <c r="F52">
        <v>953</v>
      </c>
      <c r="G52">
        <v>10000</v>
      </c>
      <c r="H52">
        <v>5229</v>
      </c>
      <c r="I52">
        <v>0</v>
      </c>
      <c r="J52">
        <v>2493</v>
      </c>
      <c r="K52">
        <v>0</v>
      </c>
    </row>
    <row r="53" spans="2:11" x14ac:dyDescent="0.25">
      <c r="B53">
        <v>10819</v>
      </c>
      <c r="C53">
        <v>0</v>
      </c>
      <c r="D53">
        <v>-1</v>
      </c>
      <c r="E53">
        <v>10000</v>
      </c>
      <c r="F53">
        <v>966</v>
      </c>
      <c r="G53">
        <v>10000</v>
      </c>
      <c r="H53">
        <v>5309</v>
      </c>
      <c r="I53">
        <v>0</v>
      </c>
      <c r="J53">
        <v>2499</v>
      </c>
      <c r="K53">
        <v>0</v>
      </c>
    </row>
    <row r="54" spans="2:11" x14ac:dyDescent="0.25">
      <c r="B54">
        <v>10892</v>
      </c>
      <c r="C54">
        <v>0</v>
      </c>
      <c r="D54">
        <v>-1</v>
      </c>
      <c r="E54">
        <v>10000</v>
      </c>
      <c r="F54">
        <v>986</v>
      </c>
      <c r="G54">
        <v>10000</v>
      </c>
      <c r="H54">
        <v>5220</v>
      </c>
      <c r="I54">
        <v>0</v>
      </c>
      <c r="J54">
        <v>2516</v>
      </c>
      <c r="K54">
        <v>0</v>
      </c>
    </row>
    <row r="55" spans="2:11" x14ac:dyDescent="0.25">
      <c r="B55">
        <v>10777</v>
      </c>
      <c r="C55">
        <v>0</v>
      </c>
      <c r="D55">
        <v>-1</v>
      </c>
      <c r="E55">
        <v>10000</v>
      </c>
      <c r="F55">
        <v>1125</v>
      </c>
      <c r="G55">
        <v>10000</v>
      </c>
      <c r="H55">
        <v>5268</v>
      </c>
      <c r="I55">
        <v>0</v>
      </c>
      <c r="J55">
        <v>2553</v>
      </c>
      <c r="K55">
        <v>0</v>
      </c>
    </row>
    <row r="56" spans="2:11" x14ac:dyDescent="0.25">
      <c r="B56">
        <v>11000</v>
      </c>
      <c r="C56">
        <v>0</v>
      </c>
      <c r="D56">
        <v>-1</v>
      </c>
      <c r="E56">
        <v>10000</v>
      </c>
      <c r="F56">
        <v>971</v>
      </c>
      <c r="G56">
        <v>10000</v>
      </c>
      <c r="H56">
        <v>5292</v>
      </c>
      <c r="I56">
        <v>0</v>
      </c>
      <c r="J56">
        <v>2569</v>
      </c>
      <c r="K56">
        <v>0</v>
      </c>
    </row>
    <row r="57" spans="2:11" x14ac:dyDescent="0.25">
      <c r="B57">
        <v>10886</v>
      </c>
      <c r="C57">
        <v>0</v>
      </c>
      <c r="D57">
        <v>-1</v>
      </c>
      <c r="E57">
        <v>10000</v>
      </c>
      <c r="F57">
        <v>998</v>
      </c>
      <c r="G57">
        <v>10000</v>
      </c>
      <c r="H57">
        <v>5268</v>
      </c>
      <c r="I57">
        <v>0</v>
      </c>
      <c r="J57">
        <v>2541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16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AVERAGE(StandardAggregatesSerialization[Newtonsoft (duration)])</f>
        <v>5823.5</v>
      </c>
      <c r="H5" s="2">
        <v>0</v>
      </c>
      <c r="I5" s="2">
        <f>AVERAGE(StandardAggregatesSerialization[Service stack (duration)])</f>
        <v>1112.5999999999999</v>
      </c>
      <c r="J5" s="2">
        <f>AVERAGE(StandardAggregatesSerialization[Revenj.Json (duration)])</f>
        <v>4765.1000000000004</v>
      </c>
      <c r="K5" s="2">
        <f>AVERAGE(StandardAggregatesSerialization[Protobuf (duration)])</f>
        <v>1566</v>
      </c>
    </row>
    <row r="6" spans="6:11" x14ac:dyDescent="0.25">
      <c r="F6" t="s">
        <v>6</v>
      </c>
      <c r="G6" s="2">
        <f>G7-G5</f>
        <v>8002.5</v>
      </c>
      <c r="H6" s="2">
        <v>0</v>
      </c>
      <c r="I6" s="2">
        <f t="shared" ref="H6:K6" si="0">I7-I5</f>
        <v>52.600000000000136</v>
      </c>
      <c r="J6" s="2">
        <f t="shared" si="0"/>
        <v>3210.2999999999993</v>
      </c>
      <c r="K6" s="2">
        <f t="shared" si="0"/>
        <v>1417.8000000000002</v>
      </c>
    </row>
    <row r="7" spans="6:11" x14ac:dyDescent="0.25">
      <c r="F7" t="s">
        <v>4</v>
      </c>
      <c r="G7" s="2">
        <f>AVERAGE(StandardAggregatesBoth[Newtonsoft (duration)])</f>
        <v>13826</v>
      </c>
      <c r="H7" s="2">
        <v>0</v>
      </c>
      <c r="I7" s="2">
        <f>AVERAGE(StandardAggregatesBoth[Service stack (duration)])</f>
        <v>1165.2</v>
      </c>
      <c r="J7" s="2">
        <f>AVERAGE(StandardAggregatesBoth[Revenj.Json (duration)])</f>
        <v>7975.4</v>
      </c>
      <c r="K7" s="2">
        <f>AVERAGE(StandardAggregatesBoth[Protobuf (duration)])</f>
        <v>2983.8</v>
      </c>
    </row>
    <row r="8" spans="6:11" x14ac:dyDescent="0.25">
      <c r="F8" t="s">
        <v>19</v>
      </c>
      <c r="G8" s="2">
        <f>AVERAGE(StandardAggregatesBoth[Newtonsoft (errors)])</f>
        <v>0</v>
      </c>
      <c r="H8" s="2">
        <f>AVERAGE(StandardAggregatesBoth[Jil (errors)])</f>
        <v>10000</v>
      </c>
      <c r="I8" s="2">
        <f>AVERAGE(StandardAggregatesBoth[Service stack (errors)])</f>
        <v>10000</v>
      </c>
      <c r="J8" s="2">
        <f>AVERAGE(StandardAggregatesBoth[Revenj.Json (errors)])</f>
        <v>0</v>
      </c>
      <c r="K8" s="2">
        <f>AVERAGE(StandardAggregatesBoth[Protobuf (errors)])</f>
        <v>0</v>
      </c>
    </row>
    <row r="9" spans="6:11" x14ac:dyDescent="0.25">
      <c r="F9" t="s">
        <v>20</v>
      </c>
      <c r="G9" s="2">
        <f>AVERAGE(StandardAggregatesSerialization[Newtonsoft (size)])</f>
        <v>22807</v>
      </c>
      <c r="H9" s="2">
        <v>0</v>
      </c>
      <c r="I9" s="2">
        <f>AVERAGE(StandardAggregatesSerialization[Service stack (size)])</f>
        <v>13</v>
      </c>
      <c r="J9" s="2">
        <f>AVERAGE(StandardAggregatesSerialization[Revenj.Json (size)])</f>
        <v>23361</v>
      </c>
      <c r="K9" s="2">
        <f>AVERAGE(StandardAggregatesSerialization[Protobuf (size)])</f>
        <v>10287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DEVSQ(StandardAggregatesSerialization[Newtonsoft (duration)])</f>
        <v>33102.5</v>
      </c>
      <c r="H13" s="2">
        <f>DEVSQ(StandardAggregatesSerialization[Jil (duration)])</f>
        <v>0</v>
      </c>
      <c r="I13" s="2">
        <f>DEVSQ(StandardAggregatesSerialization[Service stack (duration)])</f>
        <v>1336.4</v>
      </c>
      <c r="J13" s="2">
        <f>DEVSQ(StandardAggregatesSerialization[Revenj.Json (duration)])</f>
        <v>4214.8999999999996</v>
      </c>
      <c r="K13" s="2">
        <f>DEVSQ(StandardAggregatesSerialization[Protobuf (duration)])</f>
        <v>2078</v>
      </c>
    </row>
    <row r="14" spans="6:11" x14ac:dyDescent="0.25">
      <c r="F14" t="s">
        <v>4</v>
      </c>
      <c r="G14" s="2">
        <f>DEVSQ(StandardAggregatesBoth[Newtonsoft (duration)])</f>
        <v>59718</v>
      </c>
      <c r="H14" s="2">
        <f>DEVSQ(StandardAggregatesBoth[Jil (duration)])</f>
        <v>0</v>
      </c>
      <c r="I14" s="2">
        <f>DEVSQ(StandardAggregatesBoth[Service stack (duration)])</f>
        <v>4335.5999999999995</v>
      </c>
      <c r="J14" s="2">
        <f>DEVSQ(StandardAggregatesBoth[Revenj.Json (duration)])</f>
        <v>10036.400000000001</v>
      </c>
      <c r="K14" s="2">
        <f>DEVSQ(StandardAggregatesBoth[Protobuf (duration)])</f>
        <v>4999.6000000000004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5813</v>
      </c>
      <c r="C35">
        <v>22822</v>
      </c>
      <c r="D35">
        <v>0</v>
      </c>
      <c r="E35">
        <v>-1</v>
      </c>
      <c r="F35">
        <v>-1</v>
      </c>
      <c r="G35">
        <v>10000</v>
      </c>
      <c r="H35">
        <v>1105</v>
      </c>
      <c r="I35">
        <v>13</v>
      </c>
      <c r="J35">
        <v>0</v>
      </c>
      <c r="K35">
        <v>4755</v>
      </c>
      <c r="L35">
        <v>23361</v>
      </c>
      <c r="M35">
        <v>0</v>
      </c>
      <c r="N35">
        <v>1561</v>
      </c>
      <c r="O35">
        <v>10287</v>
      </c>
      <c r="P35">
        <v>0</v>
      </c>
    </row>
    <row r="36" spans="2:16" x14ac:dyDescent="0.25">
      <c r="B36">
        <v>5795</v>
      </c>
      <c r="C36">
        <v>22822</v>
      </c>
      <c r="D36">
        <v>0</v>
      </c>
      <c r="E36">
        <v>-1</v>
      </c>
      <c r="F36">
        <v>-1</v>
      </c>
      <c r="G36">
        <v>10000</v>
      </c>
      <c r="H36">
        <v>1137</v>
      </c>
      <c r="I36">
        <v>13</v>
      </c>
      <c r="J36">
        <v>0</v>
      </c>
      <c r="K36">
        <v>4774</v>
      </c>
      <c r="L36">
        <v>23361</v>
      </c>
      <c r="M36">
        <v>0</v>
      </c>
      <c r="N36">
        <v>1576</v>
      </c>
      <c r="O36">
        <v>10287</v>
      </c>
      <c r="P36">
        <v>0</v>
      </c>
    </row>
    <row r="37" spans="2:16" x14ac:dyDescent="0.25">
      <c r="B37">
        <v>5905</v>
      </c>
      <c r="C37">
        <v>22822</v>
      </c>
      <c r="D37">
        <v>0</v>
      </c>
      <c r="E37">
        <v>-1</v>
      </c>
      <c r="F37">
        <v>-1</v>
      </c>
      <c r="G37">
        <v>10000</v>
      </c>
      <c r="H37">
        <v>1111</v>
      </c>
      <c r="I37">
        <v>13</v>
      </c>
      <c r="J37">
        <v>0</v>
      </c>
      <c r="K37">
        <v>4743</v>
      </c>
      <c r="L37">
        <v>23361</v>
      </c>
      <c r="M37">
        <v>0</v>
      </c>
      <c r="N37">
        <v>1577</v>
      </c>
      <c r="O37">
        <v>10287</v>
      </c>
      <c r="P37">
        <v>0</v>
      </c>
    </row>
    <row r="38" spans="2:16" x14ac:dyDescent="0.25">
      <c r="B38">
        <v>5893</v>
      </c>
      <c r="C38">
        <v>22822</v>
      </c>
      <c r="D38">
        <v>0</v>
      </c>
      <c r="E38">
        <v>-1</v>
      </c>
      <c r="F38">
        <v>-1</v>
      </c>
      <c r="G38">
        <v>10000</v>
      </c>
      <c r="H38">
        <v>1103</v>
      </c>
      <c r="I38">
        <v>13</v>
      </c>
      <c r="J38">
        <v>0</v>
      </c>
      <c r="K38">
        <v>4755</v>
      </c>
      <c r="L38">
        <v>23361</v>
      </c>
      <c r="M38">
        <v>0</v>
      </c>
      <c r="N38">
        <v>1560</v>
      </c>
      <c r="O38">
        <v>10287</v>
      </c>
      <c r="P38">
        <v>0</v>
      </c>
    </row>
    <row r="39" spans="2:16" x14ac:dyDescent="0.25">
      <c r="B39">
        <v>5724</v>
      </c>
      <c r="C39">
        <v>22822</v>
      </c>
      <c r="D39">
        <v>0</v>
      </c>
      <c r="E39">
        <v>-1</v>
      </c>
      <c r="F39">
        <v>-1</v>
      </c>
      <c r="G39">
        <v>10000</v>
      </c>
      <c r="H39">
        <v>1125</v>
      </c>
      <c r="I39">
        <v>13</v>
      </c>
      <c r="J39">
        <v>0</v>
      </c>
      <c r="K39">
        <v>4779</v>
      </c>
      <c r="L39">
        <v>23361</v>
      </c>
      <c r="M39">
        <v>0</v>
      </c>
      <c r="N39">
        <v>1564</v>
      </c>
      <c r="O39">
        <v>10287</v>
      </c>
      <c r="P39">
        <v>0</v>
      </c>
    </row>
    <row r="40" spans="2:16" x14ac:dyDescent="0.25">
      <c r="B40">
        <v>5826</v>
      </c>
      <c r="C40">
        <v>22822</v>
      </c>
      <c r="D40">
        <v>0</v>
      </c>
      <c r="E40">
        <v>-1</v>
      </c>
      <c r="F40">
        <v>-1</v>
      </c>
      <c r="G40">
        <v>10000</v>
      </c>
      <c r="H40">
        <v>1101</v>
      </c>
      <c r="I40">
        <v>13</v>
      </c>
      <c r="J40">
        <v>0</v>
      </c>
      <c r="K40">
        <v>4782</v>
      </c>
      <c r="L40">
        <v>23361</v>
      </c>
      <c r="M40">
        <v>0</v>
      </c>
      <c r="N40">
        <v>1575</v>
      </c>
      <c r="O40">
        <v>10287</v>
      </c>
      <c r="P40">
        <v>0</v>
      </c>
    </row>
    <row r="41" spans="2:16" x14ac:dyDescent="0.25">
      <c r="B41">
        <v>5835</v>
      </c>
      <c r="C41">
        <v>22822</v>
      </c>
      <c r="D41">
        <v>0</v>
      </c>
      <c r="E41">
        <v>-1</v>
      </c>
      <c r="F41">
        <v>-1</v>
      </c>
      <c r="G41">
        <v>10000</v>
      </c>
      <c r="H41">
        <v>1114</v>
      </c>
      <c r="I41">
        <v>13</v>
      </c>
      <c r="J41">
        <v>0</v>
      </c>
      <c r="K41">
        <v>4757</v>
      </c>
      <c r="L41">
        <v>23361</v>
      </c>
      <c r="M41">
        <v>0</v>
      </c>
      <c r="N41">
        <v>1592</v>
      </c>
      <c r="O41">
        <v>10287</v>
      </c>
      <c r="P41">
        <v>0</v>
      </c>
    </row>
    <row r="42" spans="2:16" x14ac:dyDescent="0.25">
      <c r="B42">
        <v>5808</v>
      </c>
      <c r="C42">
        <v>22822</v>
      </c>
      <c r="D42">
        <v>0</v>
      </c>
      <c r="E42">
        <v>-1</v>
      </c>
      <c r="F42">
        <v>-1</v>
      </c>
      <c r="G42">
        <v>10000</v>
      </c>
      <c r="H42">
        <v>1120</v>
      </c>
      <c r="I42">
        <v>13</v>
      </c>
      <c r="J42">
        <v>0</v>
      </c>
      <c r="K42">
        <v>4725</v>
      </c>
      <c r="L42">
        <v>23361</v>
      </c>
      <c r="M42">
        <v>0</v>
      </c>
      <c r="N42">
        <v>1559</v>
      </c>
      <c r="O42">
        <v>10287</v>
      </c>
      <c r="P42">
        <v>0</v>
      </c>
    </row>
    <row r="43" spans="2:16" x14ac:dyDescent="0.25">
      <c r="B43">
        <v>5890</v>
      </c>
      <c r="C43">
        <v>22822</v>
      </c>
      <c r="D43">
        <v>0</v>
      </c>
      <c r="E43">
        <v>-1</v>
      </c>
      <c r="F43">
        <v>-1</v>
      </c>
      <c r="G43">
        <v>10000</v>
      </c>
      <c r="H43">
        <v>1113</v>
      </c>
      <c r="I43">
        <v>13</v>
      </c>
      <c r="J43">
        <v>0</v>
      </c>
      <c r="K43">
        <v>4790</v>
      </c>
      <c r="L43">
        <v>23361</v>
      </c>
      <c r="M43">
        <v>0</v>
      </c>
      <c r="N43">
        <v>1535</v>
      </c>
      <c r="O43">
        <v>10287</v>
      </c>
      <c r="P43">
        <v>0</v>
      </c>
    </row>
    <row r="44" spans="2:16" x14ac:dyDescent="0.25">
      <c r="B44">
        <v>5746</v>
      </c>
      <c r="C44">
        <v>22672</v>
      </c>
      <c r="D44">
        <v>0</v>
      </c>
      <c r="E44">
        <v>-1</v>
      </c>
      <c r="F44">
        <v>-1</v>
      </c>
      <c r="G44">
        <v>10000</v>
      </c>
      <c r="H44">
        <v>1097</v>
      </c>
      <c r="I44">
        <v>13</v>
      </c>
      <c r="J44">
        <v>0</v>
      </c>
      <c r="K44">
        <v>4791</v>
      </c>
      <c r="L44">
        <v>23361</v>
      </c>
      <c r="M44">
        <v>0</v>
      </c>
      <c r="N44">
        <v>1561</v>
      </c>
      <c r="O44">
        <v>10287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13872</v>
      </c>
      <c r="C48">
        <v>0</v>
      </c>
      <c r="D48">
        <v>-1</v>
      </c>
      <c r="E48">
        <v>10000</v>
      </c>
      <c r="F48">
        <v>1154</v>
      </c>
      <c r="G48">
        <v>10000</v>
      </c>
      <c r="H48">
        <v>8013</v>
      </c>
      <c r="I48">
        <v>0</v>
      </c>
      <c r="J48">
        <v>2945</v>
      </c>
      <c r="K48">
        <v>0</v>
      </c>
    </row>
    <row r="49" spans="2:11" x14ac:dyDescent="0.25">
      <c r="B49">
        <v>13848</v>
      </c>
      <c r="C49">
        <v>0</v>
      </c>
      <c r="D49">
        <v>-1</v>
      </c>
      <c r="E49">
        <v>10000</v>
      </c>
      <c r="F49">
        <v>1145</v>
      </c>
      <c r="G49">
        <v>10000</v>
      </c>
      <c r="H49">
        <v>7972</v>
      </c>
      <c r="I49">
        <v>0</v>
      </c>
      <c r="J49">
        <v>2996</v>
      </c>
      <c r="K49">
        <v>0</v>
      </c>
    </row>
    <row r="50" spans="2:11" x14ac:dyDescent="0.25">
      <c r="B50">
        <v>13805</v>
      </c>
      <c r="C50">
        <v>0</v>
      </c>
      <c r="D50">
        <v>-1</v>
      </c>
      <c r="E50">
        <v>10000</v>
      </c>
      <c r="F50">
        <v>1191</v>
      </c>
      <c r="G50">
        <v>10000</v>
      </c>
      <c r="H50">
        <v>7924</v>
      </c>
      <c r="I50">
        <v>0</v>
      </c>
      <c r="J50">
        <v>3015</v>
      </c>
      <c r="K50">
        <v>0</v>
      </c>
    </row>
    <row r="51" spans="2:11" x14ac:dyDescent="0.25">
      <c r="B51">
        <v>13727</v>
      </c>
      <c r="C51">
        <v>0</v>
      </c>
      <c r="D51">
        <v>-1</v>
      </c>
      <c r="E51">
        <v>10000</v>
      </c>
      <c r="F51">
        <v>1152</v>
      </c>
      <c r="G51">
        <v>10000</v>
      </c>
      <c r="H51">
        <v>7980</v>
      </c>
      <c r="I51">
        <v>0</v>
      </c>
      <c r="J51">
        <v>2959</v>
      </c>
      <c r="K51">
        <v>0</v>
      </c>
    </row>
    <row r="52" spans="2:11" x14ac:dyDescent="0.25">
      <c r="B52">
        <v>13747</v>
      </c>
      <c r="C52">
        <v>0</v>
      </c>
      <c r="D52">
        <v>-1</v>
      </c>
      <c r="E52">
        <v>10000</v>
      </c>
      <c r="F52">
        <v>1172</v>
      </c>
      <c r="G52">
        <v>10000</v>
      </c>
      <c r="H52">
        <v>7938</v>
      </c>
      <c r="I52">
        <v>0</v>
      </c>
      <c r="J52">
        <v>2999</v>
      </c>
      <c r="K52">
        <v>0</v>
      </c>
    </row>
    <row r="53" spans="2:11" x14ac:dyDescent="0.25">
      <c r="B53">
        <v>13776</v>
      </c>
      <c r="C53">
        <v>0</v>
      </c>
      <c r="D53">
        <v>-1</v>
      </c>
      <c r="E53">
        <v>10000</v>
      </c>
      <c r="F53">
        <v>1146</v>
      </c>
      <c r="G53">
        <v>10000</v>
      </c>
      <c r="H53">
        <v>7990</v>
      </c>
      <c r="I53">
        <v>0</v>
      </c>
      <c r="J53">
        <v>2952</v>
      </c>
      <c r="K53">
        <v>0</v>
      </c>
    </row>
    <row r="54" spans="2:11" x14ac:dyDescent="0.25">
      <c r="B54">
        <v>13843</v>
      </c>
      <c r="C54">
        <v>0</v>
      </c>
      <c r="D54">
        <v>-1</v>
      </c>
      <c r="E54">
        <v>10000</v>
      </c>
      <c r="F54">
        <v>1165</v>
      </c>
      <c r="G54">
        <v>10000</v>
      </c>
      <c r="H54">
        <v>7951</v>
      </c>
      <c r="I54">
        <v>0</v>
      </c>
      <c r="J54">
        <v>2987</v>
      </c>
      <c r="K54">
        <v>0</v>
      </c>
    </row>
    <row r="55" spans="2:11" x14ac:dyDescent="0.25">
      <c r="B55">
        <v>13757</v>
      </c>
      <c r="C55">
        <v>0</v>
      </c>
      <c r="D55">
        <v>-1</v>
      </c>
      <c r="E55">
        <v>10000</v>
      </c>
      <c r="F55">
        <v>1213</v>
      </c>
      <c r="G55">
        <v>10000</v>
      </c>
      <c r="H55">
        <v>8033</v>
      </c>
      <c r="I55">
        <v>0</v>
      </c>
      <c r="J55">
        <v>2995</v>
      </c>
      <c r="K55">
        <v>0</v>
      </c>
    </row>
    <row r="56" spans="2:11" x14ac:dyDescent="0.25">
      <c r="B56">
        <v>13997</v>
      </c>
      <c r="C56">
        <v>0</v>
      </c>
      <c r="D56">
        <v>-1</v>
      </c>
      <c r="E56">
        <v>10000</v>
      </c>
      <c r="F56">
        <v>1165</v>
      </c>
      <c r="G56">
        <v>10000</v>
      </c>
      <c r="H56">
        <v>7991</v>
      </c>
      <c r="I56">
        <v>0</v>
      </c>
      <c r="J56">
        <v>3003</v>
      </c>
      <c r="K56">
        <v>0</v>
      </c>
    </row>
    <row r="57" spans="2:11" x14ac:dyDescent="0.25">
      <c r="B57">
        <v>13888</v>
      </c>
      <c r="C57">
        <v>0</v>
      </c>
      <c r="D57">
        <v>-1</v>
      </c>
      <c r="E57">
        <v>10000</v>
      </c>
      <c r="F57">
        <v>1149</v>
      </c>
      <c r="G57">
        <v>10000</v>
      </c>
      <c r="H57">
        <v>7962</v>
      </c>
      <c r="I57">
        <v>0</v>
      </c>
      <c r="J57">
        <v>2987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7"/>
  <sheetViews>
    <sheetView workbookViewId="0">
      <selection activeCell="F2" sqref="F2"/>
    </sheetView>
  </sheetViews>
  <sheetFormatPr defaultRowHeight="15" x14ac:dyDescent="0.25"/>
  <cols>
    <col min="1" max="1" width="12.4257812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18.140625" customWidth="1"/>
    <col min="10" max="10" width="14.7109375" customWidth="1"/>
    <col min="11" max="11" width="18" customWidth="1"/>
    <col min="12" max="12" width="21.28515625" customWidth="1"/>
    <col min="13" max="13" width="19.85546875" customWidth="1"/>
    <col min="14" max="14" width="19.140625" customWidth="1"/>
    <col min="15" max="15" width="17.140625" customWidth="1"/>
    <col min="16" max="16" width="17.7109375" customWidth="1"/>
  </cols>
  <sheetData>
    <row r="2" spans="6:11" x14ac:dyDescent="0.25">
      <c r="F2" t="s">
        <v>17</v>
      </c>
    </row>
    <row r="4" spans="6:11" x14ac:dyDescent="0.25">
      <c r="F4" t="s">
        <v>8</v>
      </c>
      <c r="G4" t="s">
        <v>5</v>
      </c>
      <c r="H4" t="s">
        <v>0</v>
      </c>
      <c r="I4" t="s">
        <v>18</v>
      </c>
      <c r="J4" t="s">
        <v>1</v>
      </c>
      <c r="K4" t="s">
        <v>2</v>
      </c>
    </row>
    <row r="5" spans="6:11" x14ac:dyDescent="0.25">
      <c r="F5" t="s">
        <v>3</v>
      </c>
      <c r="G5" s="2">
        <f>AVERAGE(LargeAggregatesSerialization[Newtonsoft (duration)])</f>
        <v>5523.6</v>
      </c>
      <c r="H5" s="2">
        <f>AVERAGE(LargeAggregatesSerialization[Jil (duration)])</f>
        <v>34852.1</v>
      </c>
      <c r="I5" s="2">
        <f>AVERAGE(LargeAggregatesSerialization[Service stack (duration)])</f>
        <v>753.8</v>
      </c>
      <c r="J5" s="2">
        <f>AVERAGE(LargeAggregatesSerialization[Revenj.Json (duration)])</f>
        <v>4250.8999999999996</v>
      </c>
      <c r="K5" s="2">
        <f>AVERAGE(LargeAggregatesSerialization[Protobuf (duration)])</f>
        <v>1308</v>
      </c>
    </row>
    <row r="6" spans="6:11" x14ac:dyDescent="0.25">
      <c r="F6" t="s">
        <v>6</v>
      </c>
      <c r="G6" s="2">
        <f>G7-G5</f>
        <v>12952.800000000001</v>
      </c>
      <c r="H6" s="2">
        <v>0</v>
      </c>
      <c r="I6" s="2">
        <f t="shared" ref="H6:K6" si="0">I7-I5</f>
        <v>15.300000000000068</v>
      </c>
      <c r="J6" s="2">
        <f t="shared" si="0"/>
        <v>11654.1</v>
      </c>
      <c r="K6" s="2">
        <f t="shared" si="0"/>
        <v>2152.4</v>
      </c>
    </row>
    <row r="7" spans="6:11" x14ac:dyDescent="0.25">
      <c r="F7" t="s">
        <v>4</v>
      </c>
      <c r="G7" s="2">
        <f>AVERAGE(LargeAggregatesBoth[Newtonsoft (duration)])</f>
        <v>18476.400000000001</v>
      </c>
      <c r="H7" s="2">
        <v>0</v>
      </c>
      <c r="I7" s="2">
        <f>AVERAGE(LargeAggregatesBoth[Service stack (duration)])</f>
        <v>769.1</v>
      </c>
      <c r="J7" s="2">
        <f>AVERAGE(LargeAggregatesBoth[Revenj.Json (duration)])</f>
        <v>15905</v>
      </c>
      <c r="K7" s="2">
        <f>AVERAGE(LargeAggregatesBoth[Protobuf (duration)])</f>
        <v>3460.4</v>
      </c>
    </row>
    <row r="8" spans="6:11" x14ac:dyDescent="0.25">
      <c r="F8" t="s">
        <v>19</v>
      </c>
      <c r="G8" s="2">
        <f>AVERAGE(LargeAggregatesBoth[Newtonsoft (errors)])</f>
        <v>0</v>
      </c>
      <c r="H8" s="2">
        <f>AVERAGE(LargeAggregatesBoth[Jil (errors)])</f>
        <v>100</v>
      </c>
      <c r="I8" s="2">
        <f>AVERAGE(LargeAggregatesBoth[Service stack (errors)])</f>
        <v>100</v>
      </c>
      <c r="J8" s="2">
        <f>AVERAGE(LargeAggregatesBoth[Revenj.Json (errors)])</f>
        <v>0</v>
      </c>
      <c r="K8" s="2">
        <f>AVERAGE(LargeAggregatesBoth[Protobuf (errors)])</f>
        <v>0</v>
      </c>
    </row>
    <row r="9" spans="6:11" x14ac:dyDescent="0.25">
      <c r="F9" t="s">
        <v>20</v>
      </c>
      <c r="G9" s="2">
        <f>AVERAGE(LargeAggregatesSerialization[Newtonsoft (size)])</f>
        <v>58132004.100000001</v>
      </c>
      <c r="H9" s="2">
        <f>AVERAGE(LargeAggregatesSerialization[Jil (size)])</f>
        <v>152758992</v>
      </c>
      <c r="I9" s="2">
        <f>AVERAGE(LargeAggregatesSerialization[Service stack (size)])</f>
        <v>14</v>
      </c>
      <c r="J9" s="2">
        <f>AVERAGE(LargeAggregatesSerialization[Revenj.Json (size)])</f>
        <v>58004722</v>
      </c>
      <c r="K9" s="2">
        <f>AVERAGE(LargeAggregatesSerialization[Protobuf (size)])</f>
        <v>43068894</v>
      </c>
    </row>
    <row r="12" spans="6:11" x14ac:dyDescent="0.25">
      <c r="F12" t="s">
        <v>9</v>
      </c>
      <c r="G12" t="s">
        <v>5</v>
      </c>
      <c r="H12" t="s">
        <v>0</v>
      </c>
      <c r="I12" t="s">
        <v>18</v>
      </c>
      <c r="J12" t="s">
        <v>1</v>
      </c>
      <c r="K12" t="s">
        <v>2</v>
      </c>
    </row>
    <row r="13" spans="6:11" x14ac:dyDescent="0.25">
      <c r="F13" t="s">
        <v>3</v>
      </c>
      <c r="G13" s="2">
        <f>DEVSQ(LargeAggregatesSerialization[Newtonsoft (duration)])</f>
        <v>15336.400000000001</v>
      </c>
      <c r="H13" s="2">
        <f>DEVSQ(LargeAggregatesSerialization[Jil (duration)])</f>
        <v>447412.90000000008</v>
      </c>
      <c r="I13" s="2">
        <f>DEVSQ(LargeAggregatesSerialization[Service stack (duration)])</f>
        <v>3459.5999999999995</v>
      </c>
      <c r="J13" s="2">
        <f>DEVSQ(LargeAggregatesSerialization[Revenj.Json (duration)])</f>
        <v>9872.9000000000015</v>
      </c>
      <c r="K13" s="2">
        <f>DEVSQ(LargeAggregatesSerialization[Protobuf (duration)])</f>
        <v>2014</v>
      </c>
    </row>
    <row r="14" spans="6:11" x14ac:dyDescent="0.25">
      <c r="F14" t="s">
        <v>4</v>
      </c>
      <c r="G14" s="2">
        <f>DEVSQ(LargeAggregatesBoth[Newtonsoft (duration)])</f>
        <v>108632.40000000001</v>
      </c>
      <c r="H14" s="2">
        <f>DEVSQ(LargeAggregatesBoth[Jil (duration)])</f>
        <v>0</v>
      </c>
      <c r="I14" s="2">
        <f>DEVSQ(LargeAggregatesBoth[Service stack (duration)])</f>
        <v>1494.8999999999999</v>
      </c>
      <c r="J14" s="2">
        <f>DEVSQ(LargeAggregatesBoth[Revenj.Json (duration)])</f>
        <v>83638</v>
      </c>
      <c r="K14" s="2">
        <f>DEVSQ(LargeAggregatesBoth[Protobuf (duration)])</f>
        <v>6416.3999999999987</v>
      </c>
    </row>
    <row r="15" spans="6:11" x14ac:dyDescent="0.25">
      <c r="G15" s="2"/>
      <c r="H15" s="2"/>
      <c r="I15" s="2"/>
      <c r="J15" s="2"/>
      <c r="K15" s="2"/>
    </row>
    <row r="33" spans="2:16" x14ac:dyDescent="0.25">
      <c r="B33" s="1" t="s">
        <v>7</v>
      </c>
    </row>
    <row r="34" spans="2:16" x14ac:dyDescent="0.25">
      <c r="B34" t="s">
        <v>21</v>
      </c>
      <c r="C34" t="s">
        <v>22</v>
      </c>
      <c r="D34" t="s">
        <v>23</v>
      </c>
      <c r="E34" t="s">
        <v>27</v>
      </c>
      <c r="F34" t="s">
        <v>28</v>
      </c>
      <c r="G34" t="s">
        <v>29</v>
      </c>
      <c r="H34" t="s">
        <v>31</v>
      </c>
      <c r="I34" t="s">
        <v>30</v>
      </c>
      <c r="J34" t="s">
        <v>32</v>
      </c>
      <c r="K34" t="s">
        <v>33</v>
      </c>
      <c r="L34" t="s">
        <v>34</v>
      </c>
      <c r="M34" t="s">
        <v>35</v>
      </c>
      <c r="N34" t="s">
        <v>24</v>
      </c>
      <c r="O34" t="s">
        <v>25</v>
      </c>
      <c r="P34" t="s">
        <v>26</v>
      </c>
    </row>
    <row r="35" spans="2:16" x14ac:dyDescent="0.25">
      <c r="B35">
        <v>5588</v>
      </c>
      <c r="C35">
        <v>58131864</v>
      </c>
      <c r="D35">
        <v>0</v>
      </c>
      <c r="E35">
        <v>35400</v>
      </c>
      <c r="F35">
        <v>152758992</v>
      </c>
      <c r="G35">
        <v>0</v>
      </c>
      <c r="H35">
        <v>753</v>
      </c>
      <c r="I35">
        <v>14</v>
      </c>
      <c r="J35">
        <v>0</v>
      </c>
      <c r="K35">
        <v>4273</v>
      </c>
      <c r="L35">
        <v>58004994</v>
      </c>
      <c r="M35">
        <v>0</v>
      </c>
      <c r="N35">
        <v>1296</v>
      </c>
      <c r="O35">
        <v>43068894</v>
      </c>
      <c r="P35">
        <v>0</v>
      </c>
    </row>
    <row r="36" spans="2:16" x14ac:dyDescent="0.25">
      <c r="B36">
        <v>5532</v>
      </c>
      <c r="C36">
        <v>58131844</v>
      </c>
      <c r="D36">
        <v>0</v>
      </c>
      <c r="E36">
        <v>35007</v>
      </c>
      <c r="F36">
        <v>152758992</v>
      </c>
      <c r="G36">
        <v>0</v>
      </c>
      <c r="H36">
        <v>761</v>
      </c>
      <c r="I36">
        <v>14</v>
      </c>
      <c r="J36">
        <v>0</v>
      </c>
      <c r="K36">
        <v>4327</v>
      </c>
      <c r="L36">
        <v>58004599</v>
      </c>
      <c r="M36">
        <v>0</v>
      </c>
      <c r="N36">
        <v>1285</v>
      </c>
      <c r="O36">
        <v>43068894</v>
      </c>
      <c r="P36">
        <v>0</v>
      </c>
    </row>
    <row r="37" spans="2:16" x14ac:dyDescent="0.25">
      <c r="B37">
        <v>5556</v>
      </c>
      <c r="C37">
        <v>58132044</v>
      </c>
      <c r="D37">
        <v>0</v>
      </c>
      <c r="E37">
        <v>34804</v>
      </c>
      <c r="F37">
        <v>152758992</v>
      </c>
      <c r="G37">
        <v>0</v>
      </c>
      <c r="H37">
        <v>731</v>
      </c>
      <c r="I37">
        <v>14</v>
      </c>
      <c r="J37">
        <v>0</v>
      </c>
      <c r="K37">
        <v>4266</v>
      </c>
      <c r="L37">
        <v>58004456</v>
      </c>
      <c r="M37">
        <v>0</v>
      </c>
      <c r="N37">
        <v>1299</v>
      </c>
      <c r="O37">
        <v>43068894</v>
      </c>
      <c r="P37">
        <v>0</v>
      </c>
    </row>
    <row r="38" spans="2:16" x14ac:dyDescent="0.25">
      <c r="B38">
        <v>5542</v>
      </c>
      <c r="C38">
        <v>58131904</v>
      </c>
      <c r="D38">
        <v>0</v>
      </c>
      <c r="E38">
        <v>34824</v>
      </c>
      <c r="F38">
        <v>152758992</v>
      </c>
      <c r="G38">
        <v>0</v>
      </c>
      <c r="H38">
        <v>735</v>
      </c>
      <c r="I38">
        <v>14</v>
      </c>
      <c r="J38">
        <v>0</v>
      </c>
      <c r="K38">
        <v>4231</v>
      </c>
      <c r="L38">
        <v>58004460</v>
      </c>
      <c r="M38">
        <v>0</v>
      </c>
      <c r="N38">
        <v>1311</v>
      </c>
      <c r="O38">
        <v>43068894</v>
      </c>
      <c r="P38">
        <v>0</v>
      </c>
    </row>
    <row r="39" spans="2:16" x14ac:dyDescent="0.25">
      <c r="B39">
        <v>5498</v>
      </c>
      <c r="C39">
        <v>58132433</v>
      </c>
      <c r="D39">
        <v>0</v>
      </c>
      <c r="E39">
        <v>34843</v>
      </c>
      <c r="F39">
        <v>152758992</v>
      </c>
      <c r="G39">
        <v>0</v>
      </c>
      <c r="H39">
        <v>777</v>
      </c>
      <c r="I39">
        <v>14</v>
      </c>
      <c r="J39">
        <v>0</v>
      </c>
      <c r="K39">
        <v>4226</v>
      </c>
      <c r="L39">
        <v>58004428</v>
      </c>
      <c r="M39">
        <v>0</v>
      </c>
      <c r="N39">
        <v>1303</v>
      </c>
      <c r="O39">
        <v>43068894</v>
      </c>
      <c r="P39">
        <v>0</v>
      </c>
    </row>
    <row r="40" spans="2:16" x14ac:dyDescent="0.25">
      <c r="B40">
        <v>5575</v>
      </c>
      <c r="C40">
        <v>58131940</v>
      </c>
      <c r="D40">
        <v>0</v>
      </c>
      <c r="E40">
        <v>34789</v>
      </c>
      <c r="F40">
        <v>152758992</v>
      </c>
      <c r="G40">
        <v>0</v>
      </c>
      <c r="H40">
        <v>766</v>
      </c>
      <c r="I40">
        <v>14</v>
      </c>
      <c r="J40">
        <v>0</v>
      </c>
      <c r="K40">
        <v>4237</v>
      </c>
      <c r="L40">
        <v>58004993</v>
      </c>
      <c r="M40">
        <v>0</v>
      </c>
      <c r="N40">
        <v>1319</v>
      </c>
      <c r="O40">
        <v>43068894</v>
      </c>
      <c r="P40">
        <v>0</v>
      </c>
    </row>
    <row r="41" spans="2:16" x14ac:dyDescent="0.25">
      <c r="B41">
        <v>5492</v>
      </c>
      <c r="C41">
        <v>58131873</v>
      </c>
      <c r="D41">
        <v>0</v>
      </c>
      <c r="E41">
        <v>34813</v>
      </c>
      <c r="F41">
        <v>152758992</v>
      </c>
      <c r="G41">
        <v>0</v>
      </c>
      <c r="H41">
        <v>787</v>
      </c>
      <c r="I41">
        <v>14</v>
      </c>
      <c r="J41">
        <v>0</v>
      </c>
      <c r="K41">
        <v>4256</v>
      </c>
      <c r="L41">
        <v>58004258</v>
      </c>
      <c r="M41">
        <v>0</v>
      </c>
      <c r="N41">
        <v>1316</v>
      </c>
      <c r="O41">
        <v>43068894</v>
      </c>
      <c r="P41">
        <v>0</v>
      </c>
    </row>
    <row r="42" spans="2:16" x14ac:dyDescent="0.25">
      <c r="B42">
        <v>5462</v>
      </c>
      <c r="C42">
        <v>58132394</v>
      </c>
      <c r="D42">
        <v>0</v>
      </c>
      <c r="E42">
        <v>34617</v>
      </c>
      <c r="F42">
        <v>152758992</v>
      </c>
      <c r="G42">
        <v>0</v>
      </c>
      <c r="H42">
        <v>727</v>
      </c>
      <c r="I42">
        <v>14</v>
      </c>
      <c r="J42">
        <v>0</v>
      </c>
      <c r="K42">
        <v>4242</v>
      </c>
      <c r="L42">
        <v>58005001</v>
      </c>
      <c r="M42">
        <v>0</v>
      </c>
      <c r="N42">
        <v>1307</v>
      </c>
      <c r="O42">
        <v>43068894</v>
      </c>
      <c r="P42">
        <v>0</v>
      </c>
    </row>
    <row r="43" spans="2:16" x14ac:dyDescent="0.25">
      <c r="B43">
        <v>5501</v>
      </c>
      <c r="C43">
        <v>58131887</v>
      </c>
      <c r="D43">
        <v>0</v>
      </c>
      <c r="E43">
        <v>34612</v>
      </c>
      <c r="F43">
        <v>152758992</v>
      </c>
      <c r="G43">
        <v>0</v>
      </c>
      <c r="H43">
        <v>752</v>
      </c>
      <c r="I43">
        <v>14</v>
      </c>
      <c r="J43">
        <v>0</v>
      </c>
      <c r="K43">
        <v>4245</v>
      </c>
      <c r="L43">
        <v>58005010</v>
      </c>
      <c r="M43">
        <v>0</v>
      </c>
      <c r="N43">
        <v>1304</v>
      </c>
      <c r="O43">
        <v>43068894</v>
      </c>
      <c r="P43">
        <v>0</v>
      </c>
    </row>
    <row r="44" spans="2:16" x14ac:dyDescent="0.25">
      <c r="B44">
        <v>5490</v>
      </c>
      <c r="C44">
        <v>58131858</v>
      </c>
      <c r="D44">
        <v>0</v>
      </c>
      <c r="E44">
        <v>34812</v>
      </c>
      <c r="F44">
        <v>152758992</v>
      </c>
      <c r="G44">
        <v>0</v>
      </c>
      <c r="H44">
        <v>749</v>
      </c>
      <c r="I44">
        <v>14</v>
      </c>
      <c r="J44">
        <v>0</v>
      </c>
      <c r="K44">
        <v>4206</v>
      </c>
      <c r="L44">
        <v>58005021</v>
      </c>
      <c r="M44">
        <v>0</v>
      </c>
      <c r="N44">
        <v>1340</v>
      </c>
      <c r="O44">
        <v>43068894</v>
      </c>
      <c r="P44">
        <v>0</v>
      </c>
    </row>
    <row r="46" spans="2:16" x14ac:dyDescent="0.25">
      <c r="B46" s="1" t="s">
        <v>10</v>
      </c>
    </row>
    <row r="47" spans="2:16" x14ac:dyDescent="0.25">
      <c r="B47" t="s">
        <v>21</v>
      </c>
      <c r="C47" t="s">
        <v>23</v>
      </c>
      <c r="D47" t="s">
        <v>27</v>
      </c>
      <c r="E47" t="s">
        <v>29</v>
      </c>
      <c r="F47" t="s">
        <v>31</v>
      </c>
      <c r="G47" t="s">
        <v>32</v>
      </c>
      <c r="H47" t="s">
        <v>33</v>
      </c>
      <c r="I47" t="s">
        <v>35</v>
      </c>
      <c r="J47" t="s">
        <v>24</v>
      </c>
      <c r="K47" t="s">
        <v>26</v>
      </c>
    </row>
    <row r="48" spans="2:16" x14ac:dyDescent="0.25">
      <c r="B48">
        <v>18416</v>
      </c>
      <c r="C48">
        <v>0</v>
      </c>
      <c r="D48">
        <v>-1</v>
      </c>
      <c r="E48">
        <v>100</v>
      </c>
      <c r="F48">
        <v>773</v>
      </c>
      <c r="G48">
        <v>100</v>
      </c>
      <c r="H48">
        <v>16133</v>
      </c>
      <c r="I48">
        <v>0</v>
      </c>
      <c r="J48">
        <v>3421</v>
      </c>
      <c r="K48">
        <v>0</v>
      </c>
    </row>
    <row r="49" spans="2:11" x14ac:dyDescent="0.25">
      <c r="B49">
        <v>18456</v>
      </c>
      <c r="C49">
        <v>0</v>
      </c>
      <c r="D49">
        <v>-1</v>
      </c>
      <c r="E49">
        <v>100</v>
      </c>
      <c r="F49">
        <v>754</v>
      </c>
      <c r="G49">
        <v>100</v>
      </c>
      <c r="H49">
        <v>15859</v>
      </c>
      <c r="I49">
        <v>0</v>
      </c>
      <c r="J49">
        <v>3446</v>
      </c>
      <c r="K49">
        <v>0</v>
      </c>
    </row>
    <row r="50" spans="2:11" x14ac:dyDescent="0.25">
      <c r="B50">
        <v>18333</v>
      </c>
      <c r="C50">
        <v>0</v>
      </c>
      <c r="D50">
        <v>-1</v>
      </c>
      <c r="E50">
        <v>100</v>
      </c>
      <c r="F50">
        <v>774</v>
      </c>
      <c r="G50">
        <v>100</v>
      </c>
      <c r="H50">
        <v>15897</v>
      </c>
      <c r="I50">
        <v>0</v>
      </c>
      <c r="J50">
        <v>3476</v>
      </c>
      <c r="K50">
        <v>0</v>
      </c>
    </row>
    <row r="51" spans="2:11" x14ac:dyDescent="0.25">
      <c r="B51">
        <v>18712</v>
      </c>
      <c r="C51">
        <v>0</v>
      </c>
      <c r="D51">
        <v>-1</v>
      </c>
      <c r="E51">
        <v>100</v>
      </c>
      <c r="F51">
        <v>762</v>
      </c>
      <c r="G51">
        <v>100</v>
      </c>
      <c r="H51">
        <v>15862</v>
      </c>
      <c r="I51">
        <v>0</v>
      </c>
      <c r="J51">
        <v>3444</v>
      </c>
      <c r="K51">
        <v>0</v>
      </c>
    </row>
    <row r="52" spans="2:11" x14ac:dyDescent="0.25">
      <c r="B52">
        <v>18535</v>
      </c>
      <c r="C52">
        <v>0</v>
      </c>
      <c r="D52">
        <v>-1</v>
      </c>
      <c r="E52">
        <v>100</v>
      </c>
      <c r="F52">
        <v>758</v>
      </c>
      <c r="G52">
        <v>100</v>
      </c>
      <c r="H52">
        <v>15809</v>
      </c>
      <c r="I52">
        <v>0</v>
      </c>
      <c r="J52">
        <v>3486</v>
      </c>
      <c r="K52">
        <v>0</v>
      </c>
    </row>
    <row r="53" spans="2:11" x14ac:dyDescent="0.25">
      <c r="B53">
        <v>18546</v>
      </c>
      <c r="C53">
        <v>0</v>
      </c>
      <c r="D53">
        <v>-1</v>
      </c>
      <c r="E53">
        <v>100</v>
      </c>
      <c r="F53">
        <v>761</v>
      </c>
      <c r="G53">
        <v>100</v>
      </c>
      <c r="H53">
        <v>15793</v>
      </c>
      <c r="I53">
        <v>0</v>
      </c>
      <c r="J53">
        <v>3515</v>
      </c>
      <c r="K53">
        <v>0</v>
      </c>
    </row>
    <row r="54" spans="2:11" x14ac:dyDescent="0.25">
      <c r="B54">
        <v>18450</v>
      </c>
      <c r="C54">
        <v>0</v>
      </c>
      <c r="D54">
        <v>-1</v>
      </c>
      <c r="E54">
        <v>100</v>
      </c>
      <c r="F54">
        <v>782</v>
      </c>
      <c r="G54">
        <v>100</v>
      </c>
      <c r="H54">
        <v>15895</v>
      </c>
      <c r="I54">
        <v>0</v>
      </c>
      <c r="J54">
        <v>3442</v>
      </c>
      <c r="K54">
        <v>0</v>
      </c>
    </row>
    <row r="55" spans="2:11" x14ac:dyDescent="0.25">
      <c r="B55">
        <v>18404</v>
      </c>
      <c r="C55">
        <v>0</v>
      </c>
      <c r="D55">
        <v>-1</v>
      </c>
      <c r="E55">
        <v>100</v>
      </c>
      <c r="F55">
        <v>756</v>
      </c>
      <c r="G55">
        <v>100</v>
      </c>
      <c r="H55">
        <v>15969</v>
      </c>
      <c r="I55">
        <v>0</v>
      </c>
      <c r="J55">
        <v>3464</v>
      </c>
      <c r="K55">
        <v>0</v>
      </c>
    </row>
    <row r="56" spans="2:11" x14ac:dyDescent="0.25">
      <c r="B56">
        <v>18374</v>
      </c>
      <c r="C56">
        <v>0</v>
      </c>
      <c r="D56">
        <v>-1</v>
      </c>
      <c r="E56">
        <v>100</v>
      </c>
      <c r="F56">
        <v>793</v>
      </c>
      <c r="G56">
        <v>100</v>
      </c>
      <c r="H56">
        <v>15943</v>
      </c>
      <c r="I56">
        <v>0</v>
      </c>
      <c r="J56">
        <v>3462</v>
      </c>
      <c r="K56">
        <v>0</v>
      </c>
    </row>
    <row r="57" spans="2:11" x14ac:dyDescent="0.25">
      <c r="B57">
        <v>18538</v>
      </c>
      <c r="C57">
        <v>0</v>
      </c>
      <c r="D57">
        <v>-1</v>
      </c>
      <c r="E57">
        <v>100</v>
      </c>
      <c r="F57">
        <v>778</v>
      </c>
      <c r="G57">
        <v>100</v>
      </c>
      <c r="H57">
        <v>15890</v>
      </c>
      <c r="I57">
        <v>0</v>
      </c>
      <c r="J57">
        <v>3448</v>
      </c>
      <c r="K57">
        <v>0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Startup times</vt:lpstr>
      <vt:lpstr>Small events</vt:lpstr>
      <vt:lpstr>Small values</vt:lpstr>
      <vt:lpstr>Small aggregates</vt:lpstr>
      <vt:lpstr>Standard events</vt:lpstr>
      <vt:lpstr>Standard aggregates</vt:lpstr>
      <vt:lpstr>Large aggregates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2014-10-14T19:51:58Z</dcterms:modified>
</cp:coreProperties>
</file>