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mc:AlternateContent xmlns:mc="http://schemas.openxmlformats.org/markup-compatibility/2006">
    <mc:Choice Requires="x15">
      <x15ac:absPath xmlns:x15ac="http://schemas.microsoft.com/office/spreadsheetml/2010/11/ac" url="https://tecnube1-my.sharepoint.com/personal/lsancho_itcr_ac_cr/Documents/INVESTIGACION/Poliglot/5 - Métricas/Actividad/"/>
    </mc:Choice>
  </mc:AlternateContent>
  <xr:revisionPtr revIDLastSave="0" documentId="8_{CF69BA09-6108-4CE3-B892-ED988E6B3FFF}" xr6:coauthVersionLast="47" xr6:coauthVersionMax="47" xr10:uidLastSave="{00000000-0000-0000-0000-000000000000}"/>
  <bookViews>
    <workbookView xWindow="18120" yWindow="6920" windowWidth="22720" windowHeight="13600" firstSheet="3" activeTab="4" xr2:uid="{00000000-000D-0000-FFFF-FFFF00000000}"/>
  </bookViews>
  <sheets>
    <sheet name="Ejercicio1" sheetId="2" r:id="rId1"/>
    <sheet name="Ejercicio2" sheetId="1" r:id="rId2"/>
    <sheet name="Ejercicio3" sheetId="4" r:id="rId3"/>
    <sheet name="Ejercicio4" sheetId="3" r:id="rId4"/>
    <sheet name="Tabla Ejercici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3" l="1"/>
  <c r="V50" i="3"/>
  <c r="V48" i="3"/>
  <c r="P50" i="3"/>
  <c r="P49" i="3"/>
  <c r="P48" i="3"/>
  <c r="K49" i="3"/>
  <c r="K48" i="3"/>
  <c r="G52" i="3"/>
  <c r="G51" i="3"/>
  <c r="G50" i="3"/>
  <c r="G49" i="3"/>
  <c r="G48" i="3"/>
  <c r="S37" i="3"/>
  <c r="S34" i="3"/>
  <c r="S35" i="3"/>
  <c r="K37" i="3"/>
  <c r="K34" i="3"/>
  <c r="K32" i="3"/>
  <c r="W5" i="1"/>
  <c r="S19" i="3"/>
  <c r="S20" i="3"/>
  <c r="S21" i="3"/>
  <c r="S22" i="3"/>
  <c r="S23" i="3"/>
  <c r="S24" i="3"/>
  <c r="S25" i="3"/>
  <c r="S26" i="3"/>
  <c r="S27" i="3"/>
  <c r="S28" i="3"/>
  <c r="S29" i="3"/>
  <c r="S30" i="3"/>
  <c r="Q26" i="3"/>
  <c r="Q25" i="3"/>
  <c r="Q22" i="3"/>
  <c r="P28" i="3"/>
  <c r="P26" i="3"/>
  <c r="P25" i="3"/>
  <c r="P24" i="3"/>
  <c r="P21" i="3"/>
  <c r="P20" i="3"/>
  <c r="P19" i="3"/>
  <c r="S46" i="3"/>
  <c r="S44" i="3"/>
  <c r="S42" i="3"/>
  <c r="S39" i="3"/>
  <c r="S36" i="3"/>
  <c r="S32" i="3"/>
  <c r="S31" i="3"/>
  <c r="S18" i="3"/>
  <c r="M29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K46" i="3"/>
  <c r="K42" i="3"/>
  <c r="K35" i="3"/>
  <c r="K36" i="3"/>
  <c r="K31" i="3"/>
  <c r="V50" i="4"/>
  <c r="V48" i="4"/>
  <c r="M18" i="3"/>
  <c r="K18" i="3"/>
  <c r="I18" i="3"/>
  <c r="I14" i="3"/>
  <c r="H18" i="3"/>
  <c r="H11" i="3"/>
  <c r="H10" i="3"/>
  <c r="X54" i="2"/>
  <c r="X53" i="2"/>
  <c r="V54" i="2"/>
  <c r="V53" i="2"/>
  <c r="V52" i="2"/>
  <c r="V51" i="2"/>
  <c r="V50" i="2"/>
  <c r="H44" i="2"/>
  <c r="H43" i="2"/>
  <c r="H40" i="2"/>
  <c r="H37" i="2"/>
  <c r="H36" i="2"/>
  <c r="H35" i="2"/>
  <c r="H32" i="2"/>
  <c r="H29" i="2"/>
  <c r="H27" i="2"/>
  <c r="H26" i="2"/>
  <c r="H22" i="2"/>
  <c r="H21" i="2"/>
  <c r="H20" i="2"/>
  <c r="H18" i="2"/>
  <c r="H16" i="2"/>
  <c r="H15" i="2"/>
  <c r="H13" i="2"/>
  <c r="H11" i="2"/>
  <c r="H8" i="2"/>
  <c r="H7" i="2"/>
  <c r="H6" i="2"/>
  <c r="H3" i="2"/>
  <c r="H4" i="2"/>
  <c r="H5" i="2"/>
  <c r="H2" i="2"/>
  <c r="K27" i="3"/>
  <c r="M27" i="3" s="1"/>
  <c r="K28" i="3"/>
  <c r="M28" i="3" s="1"/>
  <c r="K26" i="3"/>
  <c r="M26" i="3" s="1"/>
  <c r="K25" i="3"/>
  <c r="M25" i="3" s="1"/>
  <c r="K23" i="3"/>
  <c r="M23" i="3" s="1"/>
  <c r="K24" i="3"/>
  <c r="M24" i="3" s="1"/>
  <c r="K22" i="3"/>
  <c r="M22" i="3" s="1"/>
  <c r="K21" i="3"/>
  <c r="M21" i="3" s="1"/>
  <c r="K20" i="3"/>
  <c r="M20" i="3" s="1"/>
  <c r="K19" i="3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3" i="1"/>
  <c r="W4" i="1"/>
  <c r="V50" i="1"/>
  <c r="V48" i="1"/>
  <c r="L5" i="1"/>
  <c r="H47" i="1"/>
  <c r="H44" i="1"/>
  <c r="H37" i="1"/>
  <c r="H23" i="1"/>
  <c r="H13" i="1"/>
  <c r="H36" i="1"/>
  <c r="H27" i="1"/>
  <c r="H16" i="1"/>
  <c r="H30" i="2"/>
  <c r="V32" i="3"/>
  <c r="K44" i="3"/>
  <c r="H44" i="3"/>
  <c r="I44" i="3" s="1"/>
  <c r="K39" i="3"/>
  <c r="I39" i="3"/>
  <c r="I32" i="3"/>
  <c r="I19" i="3"/>
  <c r="M19" i="3" s="1"/>
  <c r="D2" i="5"/>
  <c r="C2" i="5"/>
  <c r="C3" i="5"/>
  <c r="D3" i="5" s="1"/>
  <c r="E2" i="5" s="1"/>
  <c r="C4" i="5"/>
  <c r="D4" i="5" s="1"/>
  <c r="C5" i="5"/>
  <c r="D5" i="5" s="1"/>
  <c r="I47" i="2"/>
  <c r="K47" i="2"/>
  <c r="M47" i="2" a="1"/>
  <c r="M47" i="2"/>
  <c r="S47" i="2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3" i="3"/>
  <c r="H16" i="3"/>
  <c r="H4" i="3"/>
  <c r="I4" i="3"/>
  <c r="I5" i="3"/>
  <c r="I6" i="3"/>
  <c r="I7" i="3"/>
  <c r="I8" i="3"/>
  <c r="I9" i="3"/>
  <c r="I10" i="3"/>
  <c r="I11" i="3"/>
  <c r="I12" i="3"/>
  <c r="I13" i="3"/>
  <c r="I15" i="3"/>
  <c r="I16" i="3"/>
  <c r="I17" i="3"/>
  <c r="I3" i="3"/>
  <c r="K4" i="3"/>
  <c r="M4" i="3" s="1"/>
  <c r="K5" i="3"/>
  <c r="M5" i="3" s="1"/>
  <c r="K6" i="3"/>
  <c r="M6" i="3" s="1"/>
  <c r="K7" i="3"/>
  <c r="M7" i="3" s="1"/>
  <c r="M8" i="3"/>
  <c r="K9" i="3"/>
  <c r="M9" i="3" s="1"/>
  <c r="K10" i="3"/>
  <c r="M10" i="3" s="1"/>
  <c r="K11" i="3"/>
  <c r="M11" i="3" s="1"/>
  <c r="K12" i="3"/>
  <c r="M12" i="3" s="1"/>
  <c r="M13" i="3"/>
  <c r="K14" i="3"/>
  <c r="M14" i="3" s="1"/>
  <c r="K15" i="3"/>
  <c r="M15" i="3" s="1"/>
  <c r="K16" i="3"/>
  <c r="M16" i="3" s="1"/>
  <c r="K17" i="3"/>
  <c r="M17" i="3" s="1"/>
  <c r="K3" i="3"/>
  <c r="W47" i="4"/>
  <c r="S47" i="4"/>
  <c r="K47" i="4"/>
  <c r="I47" i="4"/>
  <c r="W46" i="4"/>
  <c r="S46" i="4"/>
  <c r="K46" i="4"/>
  <c r="I46" i="4"/>
  <c r="W45" i="4"/>
  <c r="S45" i="4"/>
  <c r="K45" i="4"/>
  <c r="I45" i="4"/>
  <c r="W44" i="4"/>
  <c r="S44" i="4"/>
  <c r="K44" i="4"/>
  <c r="I44" i="4"/>
  <c r="W43" i="4"/>
  <c r="S43" i="4"/>
  <c r="K43" i="4"/>
  <c r="I43" i="4"/>
  <c r="W42" i="4"/>
  <c r="S42" i="4"/>
  <c r="K42" i="4"/>
  <c r="I42" i="4"/>
  <c r="W41" i="4"/>
  <c r="S41" i="4"/>
  <c r="K41" i="4"/>
  <c r="I41" i="4"/>
  <c r="W40" i="4"/>
  <c r="S40" i="4"/>
  <c r="K40" i="4"/>
  <c r="I40" i="4"/>
  <c r="W39" i="4"/>
  <c r="S39" i="4"/>
  <c r="K39" i="4"/>
  <c r="I39" i="4"/>
  <c r="W38" i="4"/>
  <c r="S38" i="4"/>
  <c r="K38" i="4"/>
  <c r="I38" i="4"/>
  <c r="W37" i="4"/>
  <c r="S37" i="4"/>
  <c r="K37" i="4"/>
  <c r="I37" i="4"/>
  <c r="W36" i="4"/>
  <c r="S36" i="4"/>
  <c r="K36" i="4"/>
  <c r="I36" i="4"/>
  <c r="W35" i="4"/>
  <c r="S35" i="4"/>
  <c r="K35" i="4"/>
  <c r="I35" i="4"/>
  <c r="W34" i="4"/>
  <c r="S34" i="4"/>
  <c r="K34" i="4"/>
  <c r="I34" i="4"/>
  <c r="W33" i="4"/>
  <c r="S33" i="4"/>
  <c r="K33" i="4"/>
  <c r="I33" i="4"/>
  <c r="W32" i="4"/>
  <c r="S32" i="4"/>
  <c r="K32" i="4"/>
  <c r="I32" i="4"/>
  <c r="W31" i="4"/>
  <c r="S31" i="4"/>
  <c r="K31" i="4"/>
  <c r="I31" i="4"/>
  <c r="W30" i="4"/>
  <c r="S30" i="4"/>
  <c r="K30" i="4"/>
  <c r="I30" i="4"/>
  <c r="W29" i="4"/>
  <c r="S29" i="4"/>
  <c r="K29" i="4"/>
  <c r="I29" i="4"/>
  <c r="W28" i="4"/>
  <c r="S28" i="4"/>
  <c r="K28" i="4"/>
  <c r="I28" i="4"/>
  <c r="W27" i="4"/>
  <c r="S27" i="4"/>
  <c r="K27" i="4"/>
  <c r="I27" i="4"/>
  <c r="W26" i="4"/>
  <c r="S26" i="4"/>
  <c r="K26" i="4"/>
  <c r="I26" i="4"/>
  <c r="W25" i="4"/>
  <c r="S25" i="4"/>
  <c r="K25" i="4"/>
  <c r="I25" i="4"/>
  <c r="W24" i="4"/>
  <c r="S24" i="4"/>
  <c r="K24" i="4"/>
  <c r="I24" i="4"/>
  <c r="W23" i="4"/>
  <c r="S23" i="4"/>
  <c r="K23" i="4"/>
  <c r="I23" i="4"/>
  <c r="W22" i="4"/>
  <c r="S22" i="4"/>
  <c r="K22" i="4"/>
  <c r="I22" i="4"/>
  <c r="W21" i="4"/>
  <c r="K21" i="4"/>
  <c r="I21" i="4"/>
  <c r="W20" i="4"/>
  <c r="S20" i="4"/>
  <c r="K20" i="4"/>
  <c r="I20" i="4"/>
  <c r="W19" i="4"/>
  <c r="S19" i="4"/>
  <c r="K19" i="4"/>
  <c r="I19" i="4"/>
  <c r="W18" i="4"/>
  <c r="S18" i="4"/>
  <c r="K18" i="4"/>
  <c r="I18" i="4"/>
  <c r="W17" i="4"/>
  <c r="S17" i="4"/>
  <c r="K17" i="4"/>
  <c r="I17" i="4"/>
  <c r="W16" i="4"/>
  <c r="S16" i="4"/>
  <c r="K16" i="4"/>
  <c r="I16" i="4"/>
  <c r="W15" i="4"/>
  <c r="S15" i="4"/>
  <c r="K15" i="4"/>
  <c r="I15" i="4"/>
  <c r="W14" i="4"/>
  <c r="S14" i="4"/>
  <c r="K14" i="4"/>
  <c r="I14" i="4"/>
  <c r="W13" i="4"/>
  <c r="S13" i="4"/>
  <c r="K13" i="4"/>
  <c r="I13" i="4"/>
  <c r="W12" i="4"/>
  <c r="S12" i="4"/>
  <c r="K12" i="4"/>
  <c r="I12" i="4"/>
  <c r="W11" i="4"/>
  <c r="S11" i="4"/>
  <c r="K11" i="4"/>
  <c r="I11" i="4"/>
  <c r="W10" i="4"/>
  <c r="S10" i="4"/>
  <c r="K10" i="4"/>
  <c r="I10" i="4"/>
  <c r="W9" i="4"/>
  <c r="S9" i="4"/>
  <c r="K9" i="4"/>
  <c r="I9" i="4"/>
  <c r="W8" i="4"/>
  <c r="S8" i="4"/>
  <c r="K8" i="4"/>
  <c r="I8" i="4"/>
  <c r="W7" i="4"/>
  <c r="S7" i="4"/>
  <c r="K7" i="4"/>
  <c r="I7" i="4"/>
  <c r="W6" i="4"/>
  <c r="S6" i="4"/>
  <c r="K6" i="4"/>
  <c r="I6" i="4"/>
  <c r="W5" i="4"/>
  <c r="S5" i="4"/>
  <c r="K5" i="4"/>
  <c r="I5" i="4"/>
  <c r="W4" i="4"/>
  <c r="S4" i="4"/>
  <c r="K4" i="4"/>
  <c r="I4" i="4"/>
  <c r="W3" i="4"/>
  <c r="S3" i="4"/>
  <c r="K3" i="4"/>
  <c r="I3" i="4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I39" i="2"/>
  <c r="H45" i="1"/>
  <c r="H43" i="1"/>
  <c r="H24" i="1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3" i="1"/>
  <c r="I46" i="2"/>
  <c r="M46" i="2" s="1" a="1"/>
  <c r="M46" i="2" s="1"/>
  <c r="I45" i="2"/>
  <c r="M45" i="2" s="1" a="1"/>
  <c r="M45" i="2" s="1"/>
  <c r="I44" i="2"/>
  <c r="M44" i="2" s="1" a="1"/>
  <c r="M44" i="2" s="1"/>
  <c r="I43" i="2"/>
  <c r="M43" i="2" s="1" a="1"/>
  <c r="M43" i="2" s="1"/>
  <c r="I42" i="2"/>
  <c r="M42" i="2" s="1" a="1"/>
  <c r="M42" i="2" s="1"/>
  <c r="I41" i="2"/>
  <c r="M41" i="2" s="1" a="1"/>
  <c r="M41" i="2" s="1"/>
  <c r="I40" i="2"/>
  <c r="M40" i="2" s="1" a="1"/>
  <c r="M40" i="2" s="1"/>
  <c r="I38" i="2"/>
  <c r="M38" i="2" s="1" a="1"/>
  <c r="M38" i="2" s="1"/>
  <c r="I37" i="2"/>
  <c r="M37" i="2" s="1" a="1"/>
  <c r="M37" i="2" s="1"/>
  <c r="I36" i="2"/>
  <c r="M36" i="2" s="1" a="1"/>
  <c r="M36" i="2" s="1"/>
  <c r="I35" i="2"/>
  <c r="M35" i="2" s="1" a="1"/>
  <c r="M35" i="2" s="1"/>
  <c r="I34" i="2"/>
  <c r="M34" i="2" s="1" a="1"/>
  <c r="M34" i="2" s="1"/>
  <c r="I33" i="2"/>
  <c r="M33" i="2" s="1" a="1"/>
  <c r="M33" i="2" s="1"/>
  <c r="I32" i="2"/>
  <c r="M32" i="2" s="1" a="1"/>
  <c r="M32" i="2" s="1"/>
  <c r="I30" i="2"/>
  <c r="M30" i="2" s="1" a="1"/>
  <c r="M30" i="2" s="1"/>
  <c r="I29" i="2"/>
  <c r="M29" i="2" s="1" a="1"/>
  <c r="M29" i="2" s="1"/>
  <c r="I28" i="2"/>
  <c r="M28" i="2" s="1" a="1"/>
  <c r="M28" i="2" s="1"/>
  <c r="I27" i="2"/>
  <c r="M27" i="2" s="1" a="1"/>
  <c r="M27" i="2" s="1"/>
  <c r="I26" i="2"/>
  <c r="M26" i="2" s="1" a="1"/>
  <c r="M26" i="2" s="1"/>
  <c r="I25" i="2"/>
  <c r="M25" i="2" s="1" a="1"/>
  <c r="M25" i="2" s="1"/>
  <c r="I24" i="2"/>
  <c r="M24" i="2" s="1" a="1"/>
  <c r="M24" i="2" s="1"/>
  <c r="I23" i="2"/>
  <c r="M23" i="2" s="1" a="1"/>
  <c r="M23" i="2" s="1"/>
  <c r="I22" i="2"/>
  <c r="M22" i="2" s="1" a="1"/>
  <c r="M22" i="2" s="1"/>
  <c r="I21" i="2"/>
  <c r="M21" i="2" s="1" a="1"/>
  <c r="M21" i="2" s="1"/>
  <c r="I20" i="2"/>
  <c r="M20" i="2" s="1" a="1"/>
  <c r="M20" i="2" s="1"/>
  <c r="I19" i="2"/>
  <c r="M19" i="2" s="1" a="1"/>
  <c r="M19" i="2" s="1"/>
  <c r="I18" i="2"/>
  <c r="M18" i="2" s="1" a="1"/>
  <c r="M18" i="2" s="1"/>
  <c r="I17" i="2"/>
  <c r="M17" i="2" s="1" a="1"/>
  <c r="M17" i="2" s="1"/>
  <c r="I16" i="2"/>
  <c r="M16" i="2" s="1" a="1"/>
  <c r="M16" i="2" s="1"/>
  <c r="I15" i="2"/>
  <c r="M15" i="2" s="1" a="1"/>
  <c r="M15" i="2" s="1"/>
  <c r="I14" i="2"/>
  <c r="M14" i="2" s="1" a="1"/>
  <c r="M14" i="2" s="1"/>
  <c r="I13" i="2"/>
  <c r="M13" i="2" s="1" a="1"/>
  <c r="M13" i="2" s="1"/>
  <c r="I12" i="2"/>
  <c r="M12" i="2" s="1" a="1"/>
  <c r="M12" i="2" s="1"/>
  <c r="I11" i="2"/>
  <c r="M11" i="2" s="1" a="1"/>
  <c r="M11" i="2" s="1"/>
  <c r="I10" i="2"/>
  <c r="M10" i="2" s="1" a="1"/>
  <c r="M10" i="2" s="1"/>
  <c r="I9" i="2"/>
  <c r="M9" i="2" s="1" a="1"/>
  <c r="M9" i="2" s="1"/>
  <c r="I8" i="2"/>
  <c r="M8" i="2" s="1" a="1"/>
  <c r="M8" i="2" s="1"/>
  <c r="I7" i="2"/>
  <c r="M7" i="2" s="1" a="1"/>
  <c r="M7" i="2" s="1"/>
  <c r="I6" i="2"/>
  <c r="M6" i="2" s="1" a="1"/>
  <c r="M6" i="2" s="1"/>
  <c r="I5" i="2"/>
  <c r="M5" i="2" s="1" a="1"/>
  <c r="M5" i="2" s="1"/>
  <c r="I4" i="2"/>
  <c r="M4" i="2" s="1" a="1"/>
  <c r="M4" i="2" s="1"/>
  <c r="I3" i="2"/>
  <c r="M3" i="2" s="1" a="1"/>
  <c r="M3" i="2" s="1"/>
  <c r="I2" i="2"/>
  <c r="M2" i="2" s="1" a="1"/>
  <c r="M2" i="2" s="1"/>
  <c r="I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R18" i="3" s="1"/>
  <c r="T18" i="3" s="1"/>
  <c r="O19" i="3"/>
  <c r="R19" i="3" s="1"/>
  <c r="T19" i="3" s="1"/>
  <c r="O20" i="3"/>
  <c r="R20" i="3" s="1"/>
  <c r="T20" i="3" s="1"/>
  <c r="O21" i="3"/>
  <c r="R21" i="3" s="1"/>
  <c r="T21" i="3" s="1"/>
  <c r="O22" i="3"/>
  <c r="R22" i="3" s="1"/>
  <c r="T22" i="3" s="1"/>
  <c r="O23" i="3"/>
  <c r="R23" i="3" s="1"/>
  <c r="T23" i="3" s="1"/>
  <c r="O24" i="3"/>
  <c r="R24" i="3" s="1"/>
  <c r="T24" i="3" s="1"/>
  <c r="O25" i="3"/>
  <c r="R25" i="3" s="1"/>
  <c r="T25" i="3" s="1"/>
  <c r="O26" i="3"/>
  <c r="R26" i="3" s="1"/>
  <c r="T26" i="3" s="1"/>
  <c r="O27" i="3"/>
  <c r="R27" i="3" s="1"/>
  <c r="T27" i="3" s="1"/>
  <c r="O28" i="3"/>
  <c r="R28" i="3" s="1"/>
  <c r="T28" i="3" s="1"/>
  <c r="O29" i="3"/>
  <c r="R29" i="3" s="1"/>
  <c r="T29" i="3" s="1"/>
  <c r="O30" i="3"/>
  <c r="R30" i="3" s="1"/>
  <c r="T30" i="3" s="1"/>
  <c r="O31" i="3"/>
  <c r="R31" i="3" s="1"/>
  <c r="T31" i="3" s="1"/>
  <c r="O32" i="3"/>
  <c r="R32" i="3" s="1"/>
  <c r="T32" i="3" s="1"/>
  <c r="O33" i="3"/>
  <c r="O34" i="3"/>
  <c r="R34" i="3" s="1"/>
  <c r="T34" i="3" s="1"/>
  <c r="O35" i="3"/>
  <c r="O36" i="3"/>
  <c r="O37" i="3"/>
  <c r="R37" i="3" s="1"/>
  <c r="T37" i="3" s="1"/>
  <c r="O38" i="3"/>
  <c r="O39" i="3"/>
  <c r="R39" i="3" s="1"/>
  <c r="T39" i="3" s="1"/>
  <c r="O40" i="3"/>
  <c r="O41" i="3"/>
  <c r="O42" i="3"/>
  <c r="R42" i="3" s="1"/>
  <c r="T42" i="3" s="1"/>
  <c r="O43" i="3"/>
  <c r="O44" i="3"/>
  <c r="R44" i="3" s="1"/>
  <c r="T44" i="3" s="1"/>
  <c r="O45" i="3"/>
  <c r="O46" i="3"/>
  <c r="R46" i="3" s="1"/>
  <c r="T46" i="3" s="1"/>
  <c r="O3" i="3"/>
  <c r="N34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3" i="3"/>
  <c r="K49" i="4"/>
  <c r="K48" i="4"/>
  <c r="M3" i="3"/>
  <c r="K49" i="1"/>
  <c r="K48" i="1"/>
  <c r="K50" i="2"/>
  <c r="K51" i="2"/>
  <c r="E4" i="5"/>
  <c r="D7" i="5"/>
  <c r="M16" i="4"/>
  <c r="M4" i="4"/>
  <c r="R4" i="3"/>
  <c r="T4" i="3" s="1"/>
  <c r="G53" i="3"/>
  <c r="O13" i="4"/>
  <c r="M3" i="4"/>
  <c r="M5" i="4"/>
  <c r="M6" i="4"/>
  <c r="M8" i="4"/>
  <c r="M9" i="4"/>
  <c r="M10" i="4"/>
  <c r="M11" i="4"/>
  <c r="M12" i="4"/>
  <c r="M13" i="4"/>
  <c r="M14" i="4"/>
  <c r="M15" i="4"/>
  <c r="M17" i="4"/>
  <c r="M18" i="4"/>
  <c r="M19" i="4"/>
  <c r="M20" i="4"/>
  <c r="M21" i="4"/>
  <c r="M22" i="4"/>
  <c r="M23" i="4"/>
  <c r="O24" i="4"/>
  <c r="R24" i="4" s="1"/>
  <c r="T24" i="4" s="1"/>
  <c r="M24" i="4"/>
  <c r="O25" i="4"/>
  <c r="R25" i="4" s="1"/>
  <c r="T25" i="4" s="1"/>
  <c r="M25" i="4"/>
  <c r="O26" i="4"/>
  <c r="R26" i="4" s="1"/>
  <c r="T26" i="4" s="1"/>
  <c r="M26" i="4"/>
  <c r="O27" i="4"/>
  <c r="R27" i="4" s="1"/>
  <c r="T27" i="4" s="1"/>
  <c r="M27" i="4"/>
  <c r="O28" i="4"/>
  <c r="R28" i="4" s="1"/>
  <c r="T28" i="4" s="1"/>
  <c r="M28" i="4"/>
  <c r="O29" i="4"/>
  <c r="R29" i="4" s="1"/>
  <c r="T29" i="4" s="1"/>
  <c r="M29" i="4"/>
  <c r="O30" i="4"/>
  <c r="R30" i="4" s="1"/>
  <c r="T30" i="4" s="1"/>
  <c r="M30" i="4"/>
  <c r="O31" i="4"/>
  <c r="R31" i="4" s="1"/>
  <c r="T31" i="4" s="1"/>
  <c r="M31" i="4"/>
  <c r="O32" i="4"/>
  <c r="R32" i="4" s="1"/>
  <c r="T32" i="4" s="1"/>
  <c r="M32" i="4"/>
  <c r="O33" i="4"/>
  <c r="R33" i="4" s="1"/>
  <c r="T33" i="4" s="1"/>
  <c r="M33" i="4"/>
  <c r="O34" i="4"/>
  <c r="R34" i="4" s="1"/>
  <c r="T34" i="4" s="1"/>
  <c r="M34" i="4"/>
  <c r="O35" i="4"/>
  <c r="R35" i="4" s="1"/>
  <c r="T35" i="4" s="1"/>
  <c r="M35" i="4"/>
  <c r="O36" i="4"/>
  <c r="R36" i="4" s="1"/>
  <c r="T36" i="4" s="1"/>
  <c r="M36" i="4"/>
  <c r="O37" i="4"/>
  <c r="R37" i="4" s="1"/>
  <c r="T37" i="4" s="1"/>
  <c r="M37" i="4"/>
  <c r="O38" i="4"/>
  <c r="R38" i="4" s="1"/>
  <c r="T38" i="4" s="1"/>
  <c r="M38" i="4"/>
  <c r="O39" i="4"/>
  <c r="R39" i="4" s="1"/>
  <c r="T39" i="4" s="1"/>
  <c r="M39" i="4"/>
  <c r="O40" i="4"/>
  <c r="R40" i="4" s="1"/>
  <c r="T40" i="4" s="1"/>
  <c r="M40" i="4"/>
  <c r="O41" i="4"/>
  <c r="R41" i="4" s="1"/>
  <c r="T41" i="4" s="1"/>
  <c r="M41" i="4"/>
  <c r="O42" i="4"/>
  <c r="R42" i="4" s="1"/>
  <c r="T42" i="4" s="1"/>
  <c r="M42" i="4"/>
  <c r="O43" i="4"/>
  <c r="R43" i="4" s="1"/>
  <c r="T43" i="4" s="1"/>
  <c r="M43" i="4"/>
  <c r="O44" i="4"/>
  <c r="R44" i="4" s="1"/>
  <c r="T44" i="4" s="1"/>
  <c r="M44" i="4"/>
  <c r="O45" i="4"/>
  <c r="R45" i="4" s="1"/>
  <c r="T45" i="4" s="1"/>
  <c r="M45" i="4"/>
  <c r="O46" i="4"/>
  <c r="R46" i="4" s="1"/>
  <c r="T46" i="4" s="1"/>
  <c r="M46" i="4"/>
  <c r="O47" i="4"/>
  <c r="R47" i="4" s="1"/>
  <c r="T47" i="4" s="1"/>
  <c r="M47" i="4"/>
  <c r="M31" i="2" a="1"/>
  <c r="M31" i="2" s="1"/>
  <c r="N2" i="2"/>
  <c r="M39" i="2" a="1"/>
  <c r="M39" i="2" s="1"/>
  <c r="M24" i="1"/>
  <c r="M3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R36" i="3" l="1"/>
  <c r="T36" i="3" s="1"/>
  <c r="R35" i="3"/>
  <c r="T35" i="3" s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6" i="3"/>
  <c r="N38" i="3"/>
  <c r="N39" i="3"/>
  <c r="N40" i="3"/>
  <c r="N41" i="3"/>
  <c r="N42" i="3"/>
  <c r="N43" i="3"/>
  <c r="N44" i="3"/>
  <c r="N45" i="3"/>
  <c r="N46" i="3"/>
  <c r="N3" i="3"/>
  <c r="N37" i="3"/>
  <c r="N35" i="3"/>
  <c r="G50" i="1"/>
  <c r="M7" i="4"/>
  <c r="G52" i="4" s="1"/>
  <c r="D54" i="2"/>
  <c r="D53" i="2"/>
  <c r="D52" i="2"/>
  <c r="D51" i="2"/>
  <c r="D50" i="2"/>
  <c r="G48" i="1"/>
  <c r="N5" i="1" s="1"/>
  <c r="G49" i="1"/>
  <c r="G51" i="4"/>
  <c r="N3" i="2"/>
  <c r="O47" i="2"/>
  <c r="R47" i="2" s="1"/>
  <c r="T47" i="2" s="1"/>
  <c r="R3" i="3"/>
  <c r="T3" i="3" s="1"/>
  <c r="R17" i="3"/>
  <c r="T17" i="3" s="1"/>
  <c r="R16" i="3"/>
  <c r="T16" i="3" s="1"/>
  <c r="R15" i="3"/>
  <c r="T15" i="3" s="1"/>
  <c r="R14" i="3"/>
  <c r="T14" i="3" s="1"/>
  <c r="R13" i="3"/>
  <c r="T13" i="3" s="1"/>
  <c r="R12" i="3"/>
  <c r="T12" i="3" s="1"/>
  <c r="R11" i="3"/>
  <c r="T11" i="3" s="1"/>
  <c r="R10" i="3"/>
  <c r="T10" i="3" s="1"/>
  <c r="R9" i="3"/>
  <c r="T9" i="3" s="1"/>
  <c r="R8" i="3"/>
  <c r="T8" i="3" s="1"/>
  <c r="R7" i="3"/>
  <c r="T7" i="3" s="1"/>
  <c r="R6" i="3"/>
  <c r="T6" i="3" s="1"/>
  <c r="R5" i="3"/>
  <c r="T5" i="3" s="1"/>
  <c r="O24" i="1"/>
  <c r="O3" i="4"/>
  <c r="R3" i="4" s="1"/>
  <c r="T3" i="4" s="1"/>
  <c r="O4" i="4"/>
  <c r="R4" i="4" s="1"/>
  <c r="T4" i="4" s="1"/>
  <c r="O5" i="4"/>
  <c r="R5" i="4" s="1"/>
  <c r="T5" i="4" s="1"/>
  <c r="O6" i="4"/>
  <c r="R6" i="4" s="1"/>
  <c r="T6" i="4" s="1"/>
  <c r="O7" i="4"/>
  <c r="R7" i="4" s="1"/>
  <c r="T7" i="4" s="1"/>
  <c r="O8" i="4"/>
  <c r="R8" i="4" s="1"/>
  <c r="T8" i="4" s="1"/>
  <c r="O9" i="4"/>
  <c r="R9" i="4" s="1"/>
  <c r="T9" i="4" s="1"/>
  <c r="O10" i="4"/>
  <c r="R10" i="4" s="1"/>
  <c r="T10" i="4" s="1"/>
  <c r="O11" i="4"/>
  <c r="R11" i="4" s="1"/>
  <c r="T11" i="4" s="1"/>
  <c r="O12" i="4"/>
  <c r="R12" i="4" s="1"/>
  <c r="T12" i="4" s="1"/>
  <c r="R13" i="4"/>
  <c r="T13" i="4" s="1"/>
  <c r="O14" i="4"/>
  <c r="R14" i="4" s="1"/>
  <c r="T14" i="4" s="1"/>
  <c r="O15" i="4"/>
  <c r="R15" i="4" s="1"/>
  <c r="T15" i="4" s="1"/>
  <c r="O16" i="4"/>
  <c r="R16" i="4" s="1"/>
  <c r="T16" i="4" s="1"/>
  <c r="O17" i="4"/>
  <c r="R17" i="4" s="1"/>
  <c r="T17" i="4" s="1"/>
  <c r="O18" i="4"/>
  <c r="R18" i="4" s="1"/>
  <c r="T18" i="4" s="1"/>
  <c r="O19" i="4"/>
  <c r="R19" i="4" s="1"/>
  <c r="T19" i="4" s="1"/>
  <c r="O20" i="4"/>
  <c r="R20" i="4" s="1"/>
  <c r="T20" i="4" s="1"/>
  <c r="O21" i="4"/>
  <c r="R21" i="4" s="1"/>
  <c r="T21" i="4" s="1"/>
  <c r="O22" i="4"/>
  <c r="R22" i="4" s="1"/>
  <c r="T22" i="4" s="1"/>
  <c r="O23" i="4"/>
  <c r="R23" i="4" s="1"/>
  <c r="T23" i="4" s="1"/>
  <c r="O2" i="2"/>
  <c r="R2" i="2" s="1"/>
  <c r="T2" i="2" s="1"/>
  <c r="O3" i="2"/>
  <c r="R3" i="2" s="1"/>
  <c r="T3" i="2" s="1"/>
  <c r="O4" i="2"/>
  <c r="R4" i="2" s="1"/>
  <c r="T4" i="2" s="1"/>
  <c r="O5" i="2"/>
  <c r="R5" i="2" s="1"/>
  <c r="T5" i="2" s="1"/>
  <c r="O6" i="2"/>
  <c r="R6" i="2" s="1"/>
  <c r="T6" i="2" s="1"/>
  <c r="O7" i="2"/>
  <c r="R7" i="2" s="1"/>
  <c r="T7" i="2" s="1"/>
  <c r="O8" i="2"/>
  <c r="R8" i="2" s="1"/>
  <c r="T8" i="2" s="1"/>
  <c r="O9" i="2"/>
  <c r="R9" i="2" s="1"/>
  <c r="T9" i="2" s="1"/>
  <c r="O10" i="2"/>
  <c r="R10" i="2" s="1"/>
  <c r="T10" i="2" s="1"/>
  <c r="O11" i="2"/>
  <c r="R11" i="2" s="1"/>
  <c r="T11" i="2" s="1"/>
  <c r="O12" i="2"/>
  <c r="R12" i="2" s="1"/>
  <c r="T12" i="2" s="1"/>
  <c r="O13" i="2"/>
  <c r="R13" i="2" s="1"/>
  <c r="T13" i="2" s="1"/>
  <c r="O14" i="2"/>
  <c r="R14" i="2" s="1"/>
  <c r="T14" i="2" s="1"/>
  <c r="O15" i="2"/>
  <c r="R15" i="2" s="1"/>
  <c r="T15" i="2" s="1"/>
  <c r="O16" i="2"/>
  <c r="R16" i="2" s="1"/>
  <c r="T16" i="2" s="1"/>
  <c r="O17" i="2"/>
  <c r="R17" i="2" s="1"/>
  <c r="T17" i="2" s="1"/>
  <c r="O18" i="2"/>
  <c r="R18" i="2" s="1"/>
  <c r="T18" i="2" s="1"/>
  <c r="O19" i="2"/>
  <c r="R19" i="2" s="1"/>
  <c r="T19" i="2" s="1"/>
  <c r="O20" i="2"/>
  <c r="R20" i="2" s="1"/>
  <c r="T20" i="2" s="1"/>
  <c r="O21" i="2"/>
  <c r="R21" i="2" s="1"/>
  <c r="T21" i="2" s="1"/>
  <c r="O22" i="2"/>
  <c r="R22" i="2" s="1"/>
  <c r="T22" i="2" s="1"/>
  <c r="O23" i="2"/>
  <c r="R23" i="2" s="1"/>
  <c r="T23" i="2" s="1"/>
  <c r="O24" i="2"/>
  <c r="R24" i="2" s="1"/>
  <c r="T24" i="2" s="1"/>
  <c r="O25" i="2"/>
  <c r="R25" i="2" s="1"/>
  <c r="T25" i="2" s="1"/>
  <c r="O26" i="2"/>
  <c r="R26" i="2" s="1"/>
  <c r="T26" i="2" s="1"/>
  <c r="O27" i="2"/>
  <c r="R27" i="2" s="1"/>
  <c r="T27" i="2" s="1"/>
  <c r="O28" i="2"/>
  <c r="R28" i="2" s="1"/>
  <c r="T28" i="2" s="1"/>
  <c r="O29" i="2"/>
  <c r="R29" i="2" s="1"/>
  <c r="T29" i="2" s="1"/>
  <c r="O30" i="2"/>
  <c r="R30" i="2" s="1"/>
  <c r="T30" i="2" s="1"/>
  <c r="O31" i="2"/>
  <c r="R31" i="2" s="1"/>
  <c r="T31" i="2" s="1"/>
  <c r="O32" i="2"/>
  <c r="R32" i="2" s="1"/>
  <c r="T32" i="2" s="1"/>
  <c r="O33" i="2"/>
  <c r="R33" i="2" s="1"/>
  <c r="T33" i="2" s="1"/>
  <c r="O34" i="2"/>
  <c r="R34" i="2" s="1"/>
  <c r="T34" i="2" s="1"/>
  <c r="O35" i="2"/>
  <c r="R35" i="2" s="1"/>
  <c r="T35" i="2" s="1"/>
  <c r="O36" i="2"/>
  <c r="R36" i="2" s="1"/>
  <c r="T36" i="2" s="1"/>
  <c r="O37" i="2"/>
  <c r="R37" i="2" s="1"/>
  <c r="T37" i="2" s="1"/>
  <c r="O38" i="2"/>
  <c r="R38" i="2" s="1"/>
  <c r="T38" i="2" s="1"/>
  <c r="O39" i="2"/>
  <c r="R39" i="2" s="1"/>
  <c r="T39" i="2" s="1"/>
  <c r="O40" i="2"/>
  <c r="R40" i="2" s="1"/>
  <c r="T40" i="2" s="1"/>
  <c r="O41" i="2"/>
  <c r="R41" i="2" s="1"/>
  <c r="T41" i="2" s="1"/>
  <c r="O42" i="2"/>
  <c r="R42" i="2" s="1"/>
  <c r="T42" i="2" s="1"/>
  <c r="O43" i="2"/>
  <c r="R43" i="2" s="1"/>
  <c r="T43" i="2" s="1"/>
  <c r="O44" i="2"/>
  <c r="R44" i="2" s="1"/>
  <c r="T44" i="2" s="1"/>
  <c r="O45" i="2"/>
  <c r="R45" i="2" s="1"/>
  <c r="T45" i="2" s="1"/>
  <c r="O46" i="2"/>
  <c r="R46" i="2" s="1"/>
  <c r="T46" i="2" s="1"/>
  <c r="O47" i="1"/>
  <c r="R47" i="1" s="1"/>
  <c r="T47" i="1" s="1"/>
  <c r="O46" i="1"/>
  <c r="R46" i="1" s="1"/>
  <c r="T46" i="1" s="1"/>
  <c r="O45" i="1"/>
  <c r="R45" i="1" s="1"/>
  <c r="T45" i="1" s="1"/>
  <c r="O44" i="1"/>
  <c r="R44" i="1" s="1"/>
  <c r="T44" i="1" s="1"/>
  <c r="O43" i="1"/>
  <c r="R43" i="1" s="1"/>
  <c r="T43" i="1" s="1"/>
  <c r="O42" i="1"/>
  <c r="R42" i="1" s="1"/>
  <c r="T42" i="1" s="1"/>
  <c r="O41" i="1"/>
  <c r="R41" i="1" s="1"/>
  <c r="T41" i="1" s="1"/>
  <c r="O40" i="1"/>
  <c r="R40" i="1" s="1"/>
  <c r="T40" i="1" s="1"/>
  <c r="O39" i="1"/>
  <c r="R39" i="1" s="1"/>
  <c r="T39" i="1" s="1"/>
  <c r="O38" i="1"/>
  <c r="R38" i="1" s="1"/>
  <c r="T38" i="1" s="1"/>
  <c r="O37" i="1"/>
  <c r="R37" i="1" s="1"/>
  <c r="T37" i="1" s="1"/>
  <c r="O36" i="1"/>
  <c r="R36" i="1" s="1"/>
  <c r="T36" i="1" s="1"/>
  <c r="O35" i="1"/>
  <c r="R35" i="1" s="1"/>
  <c r="T35" i="1" s="1"/>
  <c r="O34" i="1"/>
  <c r="R34" i="1" s="1"/>
  <c r="T34" i="1" s="1"/>
  <c r="O33" i="1"/>
  <c r="R33" i="1" s="1"/>
  <c r="T33" i="1" s="1"/>
  <c r="O32" i="1"/>
  <c r="R32" i="1" s="1"/>
  <c r="T32" i="1" s="1"/>
  <c r="O31" i="1"/>
  <c r="R31" i="1" s="1"/>
  <c r="T31" i="1" s="1"/>
  <c r="O30" i="1"/>
  <c r="R30" i="1" s="1"/>
  <c r="T30" i="1" s="1"/>
  <c r="O29" i="1"/>
  <c r="R29" i="1" s="1"/>
  <c r="T29" i="1" s="1"/>
  <c r="O28" i="1"/>
  <c r="R28" i="1" s="1"/>
  <c r="T28" i="1" s="1"/>
  <c r="O27" i="1"/>
  <c r="R27" i="1" s="1"/>
  <c r="T27" i="1" s="1"/>
  <c r="O26" i="1"/>
  <c r="R26" i="1" s="1"/>
  <c r="T26" i="1" s="1"/>
  <c r="O25" i="1"/>
  <c r="R25" i="1" s="1"/>
  <c r="T25" i="1" s="1"/>
  <c r="R24" i="1"/>
  <c r="T24" i="1" s="1"/>
  <c r="O23" i="1"/>
  <c r="R23" i="1" s="1"/>
  <c r="T23" i="1" s="1"/>
  <c r="O22" i="1"/>
  <c r="R22" i="1" s="1"/>
  <c r="T22" i="1" s="1"/>
  <c r="O21" i="1"/>
  <c r="R21" i="1" s="1"/>
  <c r="T21" i="1" s="1"/>
  <c r="O20" i="1"/>
  <c r="R20" i="1" s="1"/>
  <c r="T20" i="1" s="1"/>
  <c r="O19" i="1"/>
  <c r="R19" i="1" s="1"/>
  <c r="T19" i="1" s="1"/>
  <c r="O18" i="1"/>
  <c r="R18" i="1" s="1"/>
  <c r="T18" i="1" s="1"/>
  <c r="O17" i="1"/>
  <c r="R17" i="1" s="1"/>
  <c r="T17" i="1" s="1"/>
  <c r="O16" i="1"/>
  <c r="R16" i="1" s="1"/>
  <c r="T16" i="1" s="1"/>
  <c r="O15" i="1"/>
  <c r="R15" i="1" s="1"/>
  <c r="T15" i="1" s="1"/>
  <c r="O14" i="1"/>
  <c r="R14" i="1" s="1"/>
  <c r="T14" i="1" s="1"/>
  <c r="O13" i="1"/>
  <c r="R13" i="1" s="1"/>
  <c r="T13" i="1" s="1"/>
  <c r="O12" i="1"/>
  <c r="R12" i="1" s="1"/>
  <c r="T12" i="1" s="1"/>
  <c r="O11" i="1"/>
  <c r="R11" i="1" s="1"/>
  <c r="T11" i="1" s="1"/>
  <c r="O10" i="1"/>
  <c r="R10" i="1" s="1"/>
  <c r="T10" i="1" s="1"/>
  <c r="O9" i="1"/>
  <c r="R9" i="1" s="1"/>
  <c r="T9" i="1" s="1"/>
  <c r="O8" i="1"/>
  <c r="R8" i="1" s="1"/>
  <c r="T8" i="1" s="1"/>
  <c r="O7" i="1"/>
  <c r="R7" i="1" s="1"/>
  <c r="T7" i="1" s="1"/>
  <c r="O6" i="1"/>
  <c r="R6" i="1" s="1"/>
  <c r="T6" i="1" s="1"/>
  <c r="O5" i="1"/>
  <c r="R5" i="1" s="1"/>
  <c r="T5" i="1" s="1"/>
  <c r="O4" i="1"/>
  <c r="R4" i="1" s="1"/>
  <c r="T4" i="1" s="1"/>
  <c r="O3" i="1"/>
  <c r="R3" i="1" s="1"/>
  <c r="T3" i="1" s="1"/>
  <c r="G52" i="1"/>
  <c r="G51" i="1"/>
  <c r="N24" i="1"/>
  <c r="P50" i="4" l="1"/>
  <c r="P49" i="4"/>
  <c r="P48" i="4"/>
  <c r="G48" i="4"/>
  <c r="G50" i="4"/>
  <c r="G49" i="4"/>
  <c r="T54" i="2"/>
  <c r="T53" i="2"/>
  <c r="T52" i="2"/>
  <c r="T51" i="2"/>
  <c r="T50" i="2"/>
  <c r="P48" i="1"/>
  <c r="P50" i="1"/>
  <c r="P49" i="1"/>
  <c r="N40" i="2"/>
  <c r="N41" i="2"/>
  <c r="N42" i="2"/>
  <c r="N43" i="2"/>
  <c r="N44" i="2"/>
  <c r="N45" i="2"/>
  <c r="N46" i="2"/>
  <c r="N47" i="2"/>
  <c r="X47" i="2"/>
  <c r="U3" i="4"/>
  <c r="U4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G53" i="4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U47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2" i="2"/>
  <c r="N33" i="2"/>
  <c r="N34" i="2"/>
  <c r="N35" i="2"/>
  <c r="N36" i="2"/>
  <c r="N37" i="2"/>
  <c r="N38" i="2"/>
  <c r="N31" i="2"/>
  <c r="N39" i="2"/>
  <c r="D55" i="2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3" i="1"/>
  <c r="G53" i="1"/>
  <c r="U4" i="3" l="1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32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5" i="1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X50" i="2"/>
  <c r="X52" i="2"/>
  <c r="X51" i="2"/>
  <c r="V55" i="2"/>
  <c r="W47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3" i="1"/>
  <c r="U4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Y47" i="2"/>
  <c r="U4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3" i="2"/>
  <c r="U2" i="2"/>
  <c r="T55" i="2"/>
  <c r="Y2" i="2" l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X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<sst xmlns="http://schemas.openxmlformats.org/spreadsheetml/2006/main" count="437" uniqueCount="106">
  <si>
    <t>Carnet</t>
  </si>
  <si>
    <t>Clasificación</t>
  </si>
  <si>
    <t>Comentarios</t>
  </si>
  <si>
    <t>LoCode</t>
  </si>
  <si>
    <t>LoComments</t>
  </si>
  <si>
    <t>NoFunctions</t>
  </si>
  <si>
    <t>ERL</t>
  </si>
  <si>
    <t>IRL</t>
  </si>
  <si>
    <t>IRC</t>
  </si>
  <si>
    <t>CC</t>
  </si>
  <si>
    <t>TPFM</t>
  </si>
  <si>
    <t>IDC</t>
  </si>
  <si>
    <t>Valor general</t>
  </si>
  <si>
    <t>Nivel de abstracción</t>
  </si>
  <si>
    <t>IPTFM</t>
  </si>
  <si>
    <t>Coherencia en nomenclatura</t>
  </si>
  <si>
    <t>Comentarios2</t>
  </si>
  <si>
    <t>ICLC</t>
  </si>
  <si>
    <t>ICC</t>
  </si>
  <si>
    <t>Valor general2</t>
  </si>
  <si>
    <t>Nivel de PA</t>
  </si>
  <si>
    <t>INN</t>
  </si>
  <si>
    <t>Nivel de RD</t>
  </si>
  <si>
    <t>Valor general de PC</t>
  </si>
  <si>
    <t>Nivel</t>
  </si>
  <si>
    <t>Mala</t>
  </si>
  <si>
    <t>No sirve como debería.</t>
  </si>
  <si>
    <t>Buena</t>
  </si>
  <si>
    <t>Excelente solución</t>
  </si>
  <si>
    <t>Regular</t>
  </si>
  <si>
    <t>If innecesarios</t>
  </si>
  <si>
    <t>Mucho código innecesario</t>
  </si>
  <si>
    <t>Hay código innecesario</t>
  </si>
  <si>
    <t>No recibe la lista de parámetro, está alambrado dentro de la función</t>
  </si>
  <si>
    <t>No funciona</t>
  </si>
  <si>
    <t>Hay muchas funciones innecesarias</t>
  </si>
  <si>
    <t>Uso innecesario de variables globales, contadores innecesarios, mala estandarización de nombres</t>
  </si>
  <si>
    <t>Variables innecesarias</t>
  </si>
  <si>
    <t>No funciona, mala indentación</t>
  </si>
  <si>
    <t>Modelo</t>
  </si>
  <si>
    <t>Umbral</t>
  </si>
  <si>
    <t>Cuartil 1</t>
  </si>
  <si>
    <t>MAX</t>
  </si>
  <si>
    <t>Cuartil 2</t>
  </si>
  <si>
    <t>MIN</t>
  </si>
  <si>
    <t>Cuartil 3</t>
  </si>
  <si>
    <t>Promedio</t>
  </si>
  <si>
    <t>Desv Std</t>
  </si>
  <si>
    <t>Coeficiente de varianza</t>
  </si>
  <si>
    <t>ABSTRACCIÓN</t>
  </si>
  <si>
    <t>Pensamiento algorítmico</t>
  </si>
  <si>
    <t>Representación de datos</t>
  </si>
  <si>
    <t>Comentario</t>
  </si>
  <si>
    <t>No completada.</t>
  </si>
  <si>
    <t>No ejecuta.</t>
  </si>
  <si>
    <t>Buen uso de recursión, pasa todos los test excepto cuando la cadena está vacía.</t>
  </si>
  <si>
    <t>Buen uso de recursión, pasa todos los test.</t>
  </si>
  <si>
    <t>Buena solución, pero usa ciclos. Pasa todos los test excepto cuando la cadena está vacía.</t>
  </si>
  <si>
    <t>Tiene un error cuando ya la letra se había usado antes, pero buen uso de recursión.</t>
  </si>
  <si>
    <t>Excelente solución.</t>
  </si>
  <si>
    <t>Imprime todos los candidatos</t>
  </si>
  <si>
    <t>Buena solución</t>
  </si>
  <si>
    <t>Pide las palabras, no utiliza funcion.</t>
  </si>
  <si>
    <t>funciona de manera correcta</t>
  </si>
  <si>
    <t>No tuvo tiempo para terminarlo</t>
  </si>
  <si>
    <t>No sirve.</t>
  </si>
  <si>
    <t>La funcion pide la cantidad de palabras</t>
  </si>
  <si>
    <t>Pide las palabras, no recibe lista</t>
  </si>
  <si>
    <t>Imprime todos los votos, pero si imprime solo a los candidatos con más de 4000 votos</t>
  </si>
  <si>
    <t>No le dio tiempo</t>
  </si>
  <si>
    <t>Solucion muy ineficiente recorre la lista de candidatos  5 veces</t>
  </si>
  <si>
    <t>No funciona como deberia</t>
  </si>
  <si>
    <t>No  ejecuta</t>
  </si>
  <si>
    <t>Imprime el jugador que perdió al revés</t>
  </si>
  <si>
    <t>Buena solucion</t>
  </si>
  <si>
    <t>No imprime a los candidatos</t>
  </si>
  <si>
    <t>No se ejecuta</t>
  </si>
  <si>
    <t>Imprime a todos los candidatos y la cantidad de votos de cada uno</t>
  </si>
  <si>
    <t>No reconoce un juego justo</t>
  </si>
  <si>
    <t>No usa función y no reconoce juego justo</t>
  </si>
  <si>
    <t>Bunea solucion</t>
  </si>
  <si>
    <t>Codigo innecesario</t>
  </si>
  <si>
    <t>No dice el numero de jugador que perdió</t>
  </si>
  <si>
    <t>No los imprime, solo los retorna</t>
  </si>
  <si>
    <t>No reconoce cuando jugador 2 pierde</t>
  </si>
  <si>
    <t>Solo cuenta votos y no imprime ni retorna nada</t>
  </si>
  <si>
    <t>No lo hizo</t>
  </si>
  <si>
    <t>Bueno</t>
  </si>
  <si>
    <t>No filtra a los candidatos con más de 4000 votos</t>
  </si>
  <si>
    <t>Mal hecha la función</t>
  </si>
  <si>
    <t>Ciclos innecesarios</t>
  </si>
  <si>
    <t>No completado</t>
  </si>
  <si>
    <t>No sirve como debería</t>
  </si>
  <si>
    <t>No ejecuta</t>
  </si>
  <si>
    <t>No completado, le quité lo del final y le puse : para poder sacar las métricas</t>
  </si>
  <si>
    <t>Uso excesivo de estructuras condicionales</t>
  </si>
  <si>
    <t>No cumple con todas las condiciones</t>
  </si>
  <si>
    <t>Se encicla</t>
  </si>
  <si>
    <t>No es enfocada a la eficiencia sino a la usabilidad</t>
  </si>
  <si>
    <t>Uso de doble ciclo</t>
  </si>
  <si>
    <t>Bien comentado</t>
  </si>
  <si>
    <t>Excelente</t>
  </si>
  <si>
    <t>Ejercicios</t>
  </si>
  <si>
    <t>Cantidad de soluciones</t>
  </si>
  <si>
    <t>No se ejecutan/no sirven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</si>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</sst>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1"/>
      <color rgb="FF000000"/>
      <name val="Aptos Narrow"/>
      <family val="2"/>
      <scheme val="minor"/>
    </font>
    <font>
      <b/>
      <sz val="12"/>
      <color theme="0"/>
      <name val="Aptos Display"/>
      <scheme val="maj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quotePrefix="1" applyFill="1"/>
    <xf numFmtId="0" fontId="0" fillId="2" borderId="0" xfId="0" applyFill="1"/>
    <xf numFmtId="0" fontId="0" fillId="3" borderId="0" xfId="0" quotePrefix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quotePrefix="1" applyFill="1"/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quotePrefix="1" applyFont="1"/>
    <xf numFmtId="0" fontId="2" fillId="0" borderId="0" xfId="0" applyFont="1"/>
    <xf numFmtId="0" fontId="0" fillId="5" borderId="0" xfId="0" quotePrefix="1" applyFill="1"/>
    <xf numFmtId="0" fontId="0" fillId="5" borderId="0" xfId="0" applyFill="1"/>
    <xf numFmtId="2" fontId="0" fillId="2" borderId="0" xfId="0" applyNumberFormat="1" applyFill="1"/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0" fillId="7" borderId="0" xfId="0" quotePrefix="1" applyFill="1"/>
    <xf numFmtId="0" fontId="0" fillId="7" borderId="0" xfId="0" applyFill="1"/>
    <xf numFmtId="0" fontId="0" fillId="8" borderId="0" xfId="0" applyFill="1"/>
    <xf numFmtId="2" fontId="0" fillId="5" borderId="0" xfId="0" applyNumberFormat="1" applyFill="1"/>
    <xf numFmtId="2" fontId="0" fillId="7" borderId="0" xfId="0" applyNumberFormat="1" applyFill="1"/>
    <xf numFmtId="2" fontId="2" fillId="0" borderId="0" xfId="0" applyNumberFormat="1" applyFont="1"/>
    <xf numFmtId="0" fontId="0" fillId="9" borderId="0" xfId="0" applyFill="1"/>
    <xf numFmtId="0" fontId="0" fillId="10" borderId="0" xfId="0" quotePrefix="1" applyFill="1"/>
    <xf numFmtId="0" fontId="0" fillId="11" borderId="0" xfId="0" quotePrefix="1" applyFill="1"/>
    <xf numFmtId="0" fontId="0" fillId="11" borderId="0" xfId="0" applyFill="1"/>
    <xf numFmtId="0" fontId="0" fillId="11" borderId="0" xfId="0" applyFill="1" applyAlignment="1">
      <alignment wrapText="1"/>
    </xf>
    <xf numFmtId="0" fontId="3" fillId="12" borderId="2" xfId="0" applyFont="1" applyFill="1" applyBorder="1"/>
    <xf numFmtId="2" fontId="0" fillId="11" borderId="0" xfId="0" applyNumberFormat="1" applyFill="1"/>
    <xf numFmtId="0" fontId="0" fillId="13" borderId="0" xfId="0" quotePrefix="1" applyFill="1"/>
    <xf numFmtId="0" fontId="0" fillId="13" borderId="0" xfId="0" applyFill="1"/>
    <xf numFmtId="0" fontId="0" fillId="13" borderId="0" xfId="0" applyFill="1" applyAlignment="1">
      <alignment wrapText="1"/>
    </xf>
    <xf numFmtId="2" fontId="0" fillId="13" borderId="0" xfId="0" applyNumberFormat="1" applyFill="1"/>
    <xf numFmtId="0" fontId="0" fillId="14" borderId="3" xfId="0" applyFill="1" applyBorder="1"/>
    <xf numFmtId="0" fontId="0" fillId="14" borderId="0" xfId="0" applyFill="1"/>
    <xf numFmtId="2" fontId="0" fillId="14" borderId="0" xfId="0" applyNumberFormat="1" applyFill="1"/>
    <xf numFmtId="0" fontId="2" fillId="15" borderId="0" xfId="0" quotePrefix="1" applyFont="1" applyFill="1"/>
    <xf numFmtId="0" fontId="2" fillId="15" borderId="0" xfId="0" applyFont="1" applyFill="1"/>
    <xf numFmtId="2" fontId="2" fillId="15" borderId="0" xfId="0" applyNumberFormat="1" applyFont="1" applyFill="1"/>
    <xf numFmtId="0" fontId="0" fillId="15" borderId="0" xfId="0" quotePrefix="1" applyFill="1"/>
    <xf numFmtId="0" fontId="0" fillId="15" borderId="0" xfId="0" applyFill="1"/>
    <xf numFmtId="2" fontId="0" fillId="15" borderId="0" xfId="0" applyNumberFormat="1" applyFill="1"/>
    <xf numFmtId="0" fontId="0" fillId="16" borderId="0" xfId="0" quotePrefix="1" applyFill="1"/>
    <xf numFmtId="0" fontId="0" fillId="16" borderId="0" xfId="0" applyFill="1"/>
    <xf numFmtId="2" fontId="0" fillId="16" borderId="0" xfId="0" applyNumberFormat="1" applyFill="1"/>
    <xf numFmtId="0" fontId="0" fillId="16" borderId="0" xfId="0" applyFill="1" applyAlignment="1">
      <alignment wrapText="1"/>
    </xf>
    <xf numFmtId="2" fontId="3" fillId="12" borderId="2" xfId="0" applyNumberFormat="1" applyFont="1" applyFill="1" applyBorder="1"/>
    <xf numFmtId="0" fontId="0" fillId="17" borderId="0" xfId="0" quotePrefix="1" applyFill="1"/>
    <xf numFmtId="0" fontId="0" fillId="17" borderId="0" xfId="0" applyFill="1"/>
    <xf numFmtId="0" fontId="0" fillId="17" borderId="0" xfId="0" applyFill="1" applyAlignment="1">
      <alignment wrapText="1"/>
    </xf>
    <xf numFmtId="2" fontId="0" fillId="17" borderId="0" xfId="0" applyNumberFormat="1" applyFill="1"/>
    <xf numFmtId="0" fontId="0" fillId="14" borderId="0" xfId="0" quotePrefix="1" applyFill="1"/>
    <xf numFmtId="0" fontId="0" fillId="18" borderId="0" xfId="0" quotePrefix="1" applyFill="1"/>
    <xf numFmtId="0" fontId="0" fillId="18" borderId="0" xfId="0" applyFill="1"/>
    <xf numFmtId="0" fontId="0" fillId="18" borderId="0" xfId="0" applyFill="1" applyAlignment="1">
      <alignment wrapText="1"/>
    </xf>
    <xf numFmtId="2" fontId="0" fillId="18" borderId="0" xfId="0" applyNumberFormat="1" applyFill="1"/>
    <xf numFmtId="0" fontId="0" fillId="19" borderId="0" xfId="0" quotePrefix="1" applyFill="1"/>
    <xf numFmtId="0" fontId="0" fillId="19" borderId="0" xfId="0" applyFill="1"/>
    <xf numFmtId="2" fontId="0" fillId="19" borderId="0" xfId="0" applyNumberFormat="1" applyFill="1"/>
    <xf numFmtId="0" fontId="0" fillId="20" borderId="0" xfId="0" quotePrefix="1" applyFill="1"/>
    <xf numFmtId="0" fontId="0" fillId="20" borderId="0" xfId="0" applyFill="1"/>
    <xf numFmtId="0" fontId="0" fillId="20" borderId="0" xfId="0" applyFill="1" applyAlignment="1">
      <alignment wrapText="1"/>
    </xf>
    <xf numFmtId="2" fontId="0" fillId="20" borderId="0" xfId="0" applyNumberFormat="1" applyFill="1"/>
    <xf numFmtId="0" fontId="0" fillId="21" borderId="0" xfId="0" quotePrefix="1" applyFill="1"/>
    <xf numFmtId="0" fontId="0" fillId="21" borderId="0" xfId="0" applyFill="1"/>
    <xf numFmtId="2" fontId="0" fillId="21" borderId="0" xfId="0" applyNumberFormat="1" applyFill="1"/>
    <xf numFmtId="0" fontId="0" fillId="22" borderId="0" xfId="0" quotePrefix="1" applyFill="1"/>
    <xf numFmtId="0" fontId="0" fillId="22" borderId="0" xfId="0" applyFill="1"/>
    <xf numFmtId="2" fontId="0" fillId="22" borderId="0" xfId="0" applyNumberFormat="1" applyFill="1"/>
    <xf numFmtId="0" fontId="0" fillId="19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5" borderId="1" xfId="0" quotePrefix="1" applyFill="1" applyBorder="1"/>
    <xf numFmtId="0" fontId="0" fillId="5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95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6FC902-025D-48D1-BAC2-E3899BA899F8}" name="Tabla13" displayName="Tabla13" ref="A1:Y47" totalsRowShown="0" headerRowDxfId="94">
  <autoFilter ref="A1:Y47" xr:uid="{88A4A5F1-8909-456D-BD8D-F726CDF06316}"/>
  <sortState xmlns:xlrd2="http://schemas.microsoft.com/office/spreadsheetml/2017/richdata2" ref="A2:C46">
    <sortCondition ref="A1:A46"/>
  </sortState>
  <tableColumns count="25">
    <tableColumn id="1" xr3:uid="{BFCEAE53-10DA-4B04-951C-0522BAEE15C6}" name="Carnet" dataDxfId="93"/>
    <tableColumn id="2" xr3:uid="{77D24329-72E8-4C36-81CA-C5D2425EEA92}" name="Clasificación"/>
    <tableColumn id="3" xr3:uid="{427CD299-B973-4022-91E6-43D92CA05A94}" name="Comentarios"/>
    <tableColumn id="4" xr3:uid="{C755C3D7-D60F-4DB4-B296-AEB8A7AC4E20}" name="LoCode"/>
    <tableColumn id="5" xr3:uid="{17E72BB3-78FA-44D0-BC04-1CCD4A97912F}" name="LoComments"/>
    <tableColumn id="6" xr3:uid="{5E53B3AF-A149-4A50-8C51-3A985B3E3915}" name="NoFunctions"/>
    <tableColumn id="7" xr3:uid="{0CCB5251-D55B-4815-8472-8D76830BD132}" name="ERL"/>
    <tableColumn id="8" xr3:uid="{3488CAA0-5502-48AF-B3A2-25FBE0864474}" name="IRL"/>
    <tableColumn id="9" xr3:uid="{DAEC9C4D-FA05-4472-BAAB-4207919FC695}" name="IRC" dataDxfId="92">
      <calculatedColumnFormula>Tabla13[[#This Row],[ERL]]+Tabla13[[#This Row],[IRL]]</calculatedColumnFormula>
    </tableColumn>
    <tableColumn id="10" xr3:uid="{B3BCCA85-588D-4F7A-B8EB-85BF26D6BB73}" name="CC"/>
    <tableColumn id="11" xr3:uid="{8AB6E84F-370E-494B-91C4-83F42FEDE2E9}" name="TPFM" dataDxfId="91">
      <calculatedColumnFormula>Tabla13[[#This Row],[LoCode]]/Tabla13[[#This Row],[NoFunctions]]</calculatedColumnFormula>
    </tableColumn>
    <tableColumn id="12" xr3:uid="{19A9F5B6-2BCF-4330-A399-83A1B086E127}" name="IDC"/>
    <tableColumn id="13" xr3:uid="{9037D444-328B-408C-A3E0-272E5CBF64F7}" name="Valor general" dataDxfId="90">
      <calculatedColumnFormula array="1">SUM(Tabla13[[#This Row],[CC]:[IDC]] - Tabla13[[#This Row],[IRC]])</calculatedColumnFormula>
    </tableColumn>
    <tableColumn id="14" xr3:uid="{F5FE1E32-0AFB-4F1A-B098-7F83BC594B6B}" name="Nivel de abstracción" dataDxfId="89">
      <calculatedColumnFormula>IF(M22 &lt; $G$49, "Alto", IF(M22 &lt; $G$51, "Medio", "Bajo"))</calculatedColumnFormula>
    </tableColumn>
    <tableColumn id="15" xr3:uid="{C4B16A55-CD55-4A63-AA1B-C7D2E0A928B7}" name="IPTFM" dataDxfId="88">
      <calculatedColumnFormula>1-((Tabla13[[#This Row],[TPFM]]-$K$51) / ($K$50-$K$51))</calculatedColumnFormula>
    </tableColumn>
    <tableColumn id="16" xr3:uid="{B4E87BF2-5BD8-49FE-B259-BACEEEC8354E}" name="Coherencia en nomenclatura"/>
    <tableColumn id="17" xr3:uid="{A19A3609-C370-4818-B651-6FE3BB41A506}" name="Comentarios2"/>
    <tableColumn id="18" xr3:uid="{56CDA073-2F27-4E53-976B-D1E654C3F519}" name="ICLC" dataDxfId="87">
      <calculatedColumnFormula>SUM(Tabla13[[#This Row],[IPTFM]:[Comentarios2]])/3</calculatedColumnFormula>
    </tableColumn>
    <tableColumn id="19" xr3:uid="{A95D6D4E-52AB-4FFD-A6ED-B5344C917A34}" name="ICC" dataDxfId="86">
      <calculatedColumnFormula>Tabla13[[#This Row],[CC]]/$S$48</calculatedColumnFormula>
    </tableColumn>
    <tableColumn id="20" xr3:uid="{F07E2ECB-DEAE-4627-AFDB-A23F8BC005DE}" name="Valor general2" dataDxfId="85">
      <calculatedColumnFormula>(Tabla13[[#This Row],[ICLC]]+(1-Tabla13[[#This Row],[ICC]]))/2</calculatedColumnFormula>
    </tableColumn>
    <tableColumn id="21" xr3:uid="{5683077C-FB45-4DBD-AB82-1DFC18192B65}" name="Nivel de PA" dataDxfId="84">
      <calculatedColumnFormula>IF(Tabla13[[#This Row],[Valor general2]]&lt; $T$50, "Bajo", IF(Tabla13[[#This Row],[Valor general2]]&lt; $T$52, "Medio", "Alto"))</calculatedColumnFormula>
    </tableColumn>
    <tableColumn id="22" xr3:uid="{A0610A88-B81E-4B79-9F83-60D3B472724F}" name="INN"/>
    <tableColumn id="23" xr3:uid="{7C8D82C5-8EE0-48F9-87F6-DD9F14B7572F}" name="Nivel de RD" dataDxfId="83">
      <calculatedColumnFormula>IF(Tabla13[[#This Row],[INN]]&lt; $V$50, "Bajo", IF(Tabla13[[#This Row],[INN]]&lt; $V$52, "Medio", "Alto"))</calculatedColumnFormula>
    </tableColumn>
    <tableColumn id="24" xr3:uid="{46C94FAA-F269-452E-8D7A-9BF5DBCCC008}" name="Valor general de PC" dataDxfId="82">
      <calculatedColumnFormula>Tabla13[[#This Row],[Valor general]]-Tabla13[[#This Row],[Valor general2]]-Tabla13[[#This Row],[INN]]</calculatedColumnFormula>
    </tableColumn>
    <tableColumn id="25" xr3:uid="{25ADD77C-A8E0-40C1-A218-698A371519F1}" name="Nivel" dataDxfId="81">
      <calculatedColumnFormula>IF(Tabla13[[#This Row],[Valor general de PC]]&lt; $X$50, "Alto", IF(Tabla13[[#This Row],[Valor general de PC]]&lt; $X$52, "Medio", "Bajo"))</calculatedColumnFormula>
    </tableColumn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A5F1-8909-456D-BD8D-F726CDF06316}" name="Tabla1" displayName="Tabla1" ref="A2:Y47" totalsRowShown="0" headerRowDxfId="80">
  <autoFilter ref="A2:Y47" xr:uid="{88A4A5F1-8909-456D-BD8D-F726CDF06316}"/>
  <sortState xmlns:xlrd2="http://schemas.microsoft.com/office/spreadsheetml/2017/richdata2" ref="A3:C47">
    <sortCondition ref="A2:A47"/>
  </sortState>
  <tableColumns count="25">
    <tableColumn id="1" xr3:uid="{56D3F157-C556-409A-81B8-8A57755A627D}" name="Carnet" dataDxfId="78" totalsRowDxfId="79"/>
    <tableColumn id="2" xr3:uid="{5AAF512F-6400-45ED-ACA0-7F4FEBC6E15E}" name="Clasificación" totalsRowDxfId="77"/>
    <tableColumn id="3" xr3:uid="{565BCD26-F575-4A88-942B-389A73A9982E}" name="Comentario" totalsRowDxfId="76"/>
    <tableColumn id="4" xr3:uid="{C96BC0C6-9D9F-412D-BEA9-6FDD747E46B1}" name="LoCode" totalsRowDxfId="75"/>
    <tableColumn id="5" xr3:uid="{4CE3ADE3-AC86-4D70-9EC0-D3306CDD0397}" name="LoComments" totalsRowDxfId="74"/>
    <tableColumn id="6" xr3:uid="{7743901C-5A51-4952-B0B4-6BD99AA1A8A6}" name="NoFunctions" totalsRowDxfId="73"/>
    <tableColumn id="7" xr3:uid="{1E1D651B-4DBF-4627-B1A9-86D9F0812AD5}" name="ERL" totalsRowDxfId="72"/>
    <tableColumn id="8" xr3:uid="{0753FAAE-97F3-42EA-8D5C-7B11EEED0FC4}" name="IRL" dataDxfId="70" totalsRowDxfId="71"/>
    <tableColumn id="9" xr3:uid="{EA71DD97-92F3-44FC-BF5F-FB2FBF0290D2}" name="IRC" dataDxfId="68" totalsRowDxfId="69">
      <calculatedColumnFormula>Tabla1[[#This Row],[ERL]]+Tabla1[[#This Row],[IRL]]</calculatedColumnFormula>
    </tableColumn>
    <tableColumn id="10" xr3:uid="{C79AA6F0-BE2B-486B-8A60-DBE19A2F9033}" name="CC" totalsRowDxfId="67"/>
    <tableColumn id="11" xr3:uid="{CC90B57D-326C-4883-B48B-74D26B09BBFC}" name="TPFM" dataDxfId="65" totalsRowDxfId="66">
      <calculatedColumnFormula>Tabla1[[#This Row],[LoCode]]/Tabla1[[#This Row],[NoFunctions]]</calculatedColumnFormula>
    </tableColumn>
    <tableColumn id="12" xr3:uid="{56413DEE-90FB-4281-9356-7E0C90A3C8E0}" name="IDC" dataDxfId="63" totalsRowDxfId="64"/>
    <tableColumn id="13" xr3:uid="{9F6F9577-E33D-412F-A985-E50ACAD16969}" name="Valor general" dataDxfId="61" totalsRowDxfId="62">
      <calculatedColumnFormula>SUM(Tabla1[[#This Row],[CC]:[IDC]]) - Tabla1[[#This Row],[IRC]]</calculatedColumnFormula>
    </tableColumn>
    <tableColumn id="14" xr3:uid="{6AA941FC-6B47-45AE-A4D3-929E2F837F2F}" name="Nivel de abstracción" dataDxfId="59" totalsRowDxfId="60">
      <calculatedColumnFormula>IF(M3 &lt; $G$48, "Alto", IF(M3 &lt; $G$50, "Medio", "Bajo"))</calculatedColumnFormula>
    </tableColumn>
    <tableColumn id="15" xr3:uid="{77EC9D60-6D43-4EBA-B953-C464380B8D38}" name="IPTFM" dataDxfId="57" totalsRowDxfId="58">
      <calculatedColumnFormula>1 - ((Tabla1[[#This Row],[TPFM]]- $K$49) / ($K$48 - $K$49))</calculatedColumnFormula>
    </tableColumn>
    <tableColumn id="16" xr3:uid="{9EB55A6D-6E51-4B86-98B8-049321728E9B}" name="Coherencia en nomenclatura" dataDxfId="55" totalsRowDxfId="56"/>
    <tableColumn id="17" xr3:uid="{143EA8DC-A538-49E9-B708-9AC256299540}" name="Comentarios" dataDxfId="53" totalsRowDxfId="54"/>
    <tableColumn id="18" xr3:uid="{517664B3-8BA8-457A-87ED-8C7820B35F26}" name="ICLC" dataDxfId="51" totalsRowDxfId="52">
      <calculatedColumnFormula>SUM(Tabla1[[#This Row],[IPTFM]:[Comentarios]]) / 3</calculatedColumnFormula>
    </tableColumn>
    <tableColumn id="19" xr3:uid="{4EF4417D-B595-476A-AA13-3923873EC1B6}" name="ICC" dataDxfId="49" totalsRowDxfId="50">
      <calculatedColumnFormula>Tabla1[[#This Row],[CC]]/10</calculatedColumnFormula>
    </tableColumn>
    <tableColumn id="20" xr3:uid="{38B1F1A2-67DE-402C-AF08-D329FB499366}" name="Valor general2" dataDxfId="47" totalsRowDxfId="48">
      <calculatedColumnFormula xml:space="preserve"> (Tabla1[[#This Row],[ICLC]] + (1 - Tabla1[[#This Row],[ICC]])) / 2</calculatedColumnFormula>
    </tableColumn>
    <tableColumn id="21" xr3:uid="{B85C086F-3B8F-4682-9B86-378AC6B64917}" name="Nivel de PA" dataDxfId="45" totalsRowDxfId="46">
      <calculatedColumnFormula>IF(T3 &lt; $P$48, "Bajo", IF(T3 &lt; $P$50, "Medio", "Alto"))</calculatedColumnFormula>
    </tableColumn>
    <tableColumn id="22" xr3:uid="{F92B72AB-D162-404F-BBDE-D1E37D3FCD39}" name="INN" totalsRowDxfId="44"/>
    <tableColumn id="23" xr3:uid="{D897B942-4960-4BEC-A267-C1CA78DF927C}" name="Nivel de RD" dataDxfId="42" totalsRowDxfId="43">
      <calculatedColumnFormula>IF(V3 &lt; $V$48, "Bajo", IF(V3 &gt;= $V$50, "Alto", "Medio"))</calculatedColumnFormula>
    </tableColumn>
    <tableColumn id="24" xr3:uid="{6BB25B49-45FC-485B-8F42-2AD14F2000AF}" name="Valor general de PC" totalsRowDxfId="41"/>
    <tableColumn id="25" xr3:uid="{352CEB45-F099-4B66-A28E-2229922A956D}" name="Nivel" totalsRowDxfId="40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19D21-D9D5-4FCD-9299-F5178FA0FC7F}" name="Tabla14" displayName="Tabla14" ref="A2:Y47" totalsRowShown="0" headerRowDxfId="39">
  <autoFilter ref="A2:Y47" xr:uid="{88A4A5F1-8909-456D-BD8D-F726CDF06316}"/>
  <sortState xmlns:xlrd2="http://schemas.microsoft.com/office/spreadsheetml/2017/richdata2" ref="A3:C47">
    <sortCondition ref="A2:A47"/>
  </sortState>
  <tableColumns count="25">
    <tableColumn id="1" xr3:uid="{D8D0A058-8862-42B8-8AFE-EB37200D5E0A}" name="Carnet" dataDxfId="37" totalsRowDxfId="38"/>
    <tableColumn id="2" xr3:uid="{B5226488-FF57-4A33-9E1C-9FD8AD66CCB2}" name="Clasificación" totalsRowDxfId="36"/>
    <tableColumn id="3" xr3:uid="{A3226F33-AD8D-4D4B-BA08-FFE777003AE3}" name="Comentario" totalsRowDxfId="35"/>
    <tableColumn id="4" xr3:uid="{88B97310-9095-40C2-B2A7-48E9BBD1FAD3}" name="LoCode" totalsRowDxfId="34"/>
    <tableColumn id="5" xr3:uid="{ADA7AA67-925B-4E29-B5BA-C263CADA81BF}" name="LoComments" totalsRowDxfId="33"/>
    <tableColumn id="6" xr3:uid="{36024AD1-130B-4859-9A99-3E1B719FBB2A}" name="NoFunctions" totalsRowDxfId="32"/>
    <tableColumn id="7" xr3:uid="{373A420C-E52D-4781-A524-C1BB06CDBDBA}" name="ERL" totalsRowDxfId="31"/>
    <tableColumn id="8" xr3:uid="{77340BD5-3193-424C-89DC-ED2EE24A5153}" name="IRL" totalsRowDxfId="30"/>
    <tableColumn id="9" xr3:uid="{30BFF488-410C-4BB5-B33E-2DDFFF48968E}" name="IRC" dataDxfId="28" totalsRowDxfId="29">
      <calculatedColumnFormula>Tabla14[[#This Row],[ERL]]+Tabla14[[#This Row],[IRL]]</calculatedColumnFormula>
    </tableColumn>
    <tableColumn id="10" xr3:uid="{FCB40734-2031-4642-B552-E5384E42A425}" name="CC" totalsRowDxfId="27"/>
    <tableColumn id="11" xr3:uid="{E901A4A4-463B-486D-8CB2-132A95F30209}" name="TPFM" dataDxfId="25" totalsRowDxfId="26">
      <calculatedColumnFormula>Tabla14[[#This Row],[LoCode]]/Tabla14[[#This Row],[NoFunctions]]</calculatedColumnFormula>
    </tableColumn>
    <tableColumn id="12" xr3:uid="{B52B1488-6E93-4B05-A14A-739BD9377439}" name="IDC" dataDxfId="23" totalsRowDxfId="24"/>
    <tableColumn id="13" xr3:uid="{9B6D9185-7721-4F8F-828C-302747069C0E}" name="Valor general" dataDxfId="21" totalsRowDxfId="22">
      <calculatedColumnFormula>SUM(Tabla14[[#This Row],[CC]:[IDC]]) - Tabla14[[#This Row],[IRC]]</calculatedColumnFormula>
    </tableColumn>
    <tableColumn id="14" xr3:uid="{C74CA72C-9850-433A-974B-A4E5ECD84450}" name="Nivel de abstracción" dataDxfId="19" totalsRowDxfId="20">
      <calculatedColumnFormula>IF(M3 &lt; $G$48, "Alto", IF(M3 &lt; $G$50, "Medio", "Bajo"))</calculatedColumnFormula>
    </tableColumn>
    <tableColumn id="15" xr3:uid="{5A96DE51-45ED-4AEB-B0F4-9612B4C449C9}" name="IPTFM" dataDxfId="17" totalsRowDxfId="18">
      <calculatedColumnFormula>1 - ((Tabla14[[#This Row],[TPFM]]- $K$49) / ($K$48 - $K$49))</calculatedColumnFormula>
    </tableColumn>
    <tableColumn id="16" xr3:uid="{3E735E8D-0C8E-4B37-98CB-504F08D23469}" name="Coherencia en nomenclatura" dataDxfId="15" totalsRowDxfId="16"/>
    <tableColumn id="17" xr3:uid="{E5284601-0985-4223-ABEC-9F511EE4F411}" name="Comentarios" dataDxfId="13" totalsRowDxfId="14"/>
    <tableColumn id="18" xr3:uid="{B59AD9FE-DE4D-4CB6-9D06-034AB3D1CABD}" name="ICLC" dataDxfId="11" totalsRowDxfId="12">
      <calculatedColumnFormula>SUM(Tabla14[[#This Row],[IPTFM]:[Comentarios]]) / 3</calculatedColumnFormula>
    </tableColumn>
    <tableColumn id="19" xr3:uid="{D63E74F4-107A-40E6-8D4E-642F7880039F}" name="ICC" dataDxfId="9" totalsRowDxfId="10">
      <calculatedColumnFormula>Tabla14[[#This Row],[CC]]/10</calculatedColumnFormula>
    </tableColumn>
    <tableColumn id="20" xr3:uid="{F7FC70D5-4F3E-42A8-84B8-8EADF5D1A1A1}" name="Valor general2" dataDxfId="7" totalsRowDxfId="8">
      <calculatedColumnFormula xml:space="preserve"> (Tabla14[[#This Row],[ICLC]] + (1 - Tabla14[[#This Row],[ICC]])) / 2</calculatedColumnFormula>
    </tableColumn>
    <tableColumn id="21" xr3:uid="{552302A1-EC72-4EAE-9CDA-CA49E0A3186A}" name="Nivel de PA" dataDxfId="5" totalsRowDxfId="6">
      <calculatedColumnFormula>IF(T3 &lt; $P$48, "Bajo", IF(T3 &lt; $P$50, "Medio", "Alto"))</calculatedColumnFormula>
    </tableColumn>
    <tableColumn id="22" xr3:uid="{7A31D3B6-21CE-470C-B9C1-E8BF15441CCE}" name="INN" totalsRowDxfId="4"/>
    <tableColumn id="23" xr3:uid="{9DB5F818-2976-481A-AA73-0219EEFE9023}" name="Nivel de RD" dataDxfId="2" totalsRowDxfId="3">
      <calculatedColumnFormula>IF(V3 &lt;= $V$48, "Alto", IF(V3 &lt; $V$50, "Medio", "Bajo"))</calculatedColumnFormula>
    </tableColumn>
    <tableColumn id="24" xr3:uid="{F97DFCC1-125C-4090-B058-CBE2C57E9CBD}" name="Valor general de PC" totalsRowDxfId="1"/>
    <tableColumn id="25" xr3:uid="{DF435C8F-9408-46A4-B78D-448978D62B75}" name="Nivel" totalsRow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253-3917-4175-8D4C-9A5774537634}">
  <dimension ref="A1:Y55"/>
  <sheetViews>
    <sheetView topLeftCell="E1" workbookViewId="0">
      <selection activeCell="N3" sqref="N2:N3"/>
    </sheetView>
  </sheetViews>
  <sheetFormatPr defaultColWidth="8.85546875" defaultRowHeight="15"/>
  <cols>
    <col min="1" max="1" width="18.42578125" customWidth="1"/>
    <col min="2" max="2" width="18" customWidth="1"/>
    <col min="3" max="3" width="42.28515625" customWidth="1"/>
    <col min="7" max="7" width="7.140625" bestFit="1" customWidth="1"/>
    <col min="10" max="10" width="9.28515625" bestFit="1" customWidth="1"/>
    <col min="11" max="11" width="8.85546875" bestFit="1" customWidth="1"/>
    <col min="12" max="12" width="7.140625" bestFit="1" customWidth="1"/>
    <col min="13" max="13" width="16.28515625" bestFit="1" customWidth="1"/>
    <col min="14" max="14" width="23.140625" bestFit="1" customWidth="1"/>
    <col min="15" max="15" width="9.42578125" bestFit="1" customWidth="1"/>
    <col min="16" max="16" width="31.42578125" bestFit="1" customWidth="1"/>
    <col min="17" max="17" width="17.28515625" bestFit="1" customWidth="1"/>
    <col min="18" max="18" width="8.28515625" bestFit="1" customWidth="1"/>
    <col min="19" max="19" width="20.7109375" bestFit="1" customWidth="1"/>
    <col min="20" max="20" width="17.42578125" bestFit="1" customWidth="1"/>
    <col min="21" max="21" width="20.7109375" bestFit="1" customWidth="1"/>
    <col min="22" max="22" width="7.28515625" bestFit="1" customWidth="1"/>
    <col min="23" max="23" width="20.7109375" bestFit="1" customWidth="1"/>
    <col min="24" max="24" width="22.42578125" bestFit="1" customWidth="1"/>
    <col min="25" max="25" width="8.42578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2016220461</v>
      </c>
      <c r="B2" t="s">
        <v>25</v>
      </c>
      <c r="C2" t="s">
        <v>26</v>
      </c>
      <c r="D2">
        <v>5</v>
      </c>
      <c r="E2">
        <v>0</v>
      </c>
      <c r="F2">
        <v>1</v>
      </c>
      <c r="G2">
        <v>0</v>
      </c>
      <c r="H2">
        <f>0/Tabla13[[#This Row],[LoCode]]</f>
        <v>0</v>
      </c>
      <c r="I2">
        <f>Tabla13[[#This Row],[ERL]]+Tabla13[[#This Row],[IRL]]</f>
        <v>0</v>
      </c>
      <c r="J2">
        <v>3</v>
      </c>
      <c r="K2">
        <f>Tabla13[[#This Row],[LoCode]]/Tabla13[[#This Row],[NoFunctions]]</f>
        <v>5</v>
      </c>
      <c r="L2">
        <v>0</v>
      </c>
      <c r="M2" cm="1">
        <f t="array" ref="M2">SUM(Tabla13[[#This Row],[CC]:[IDC]] - Tabla13[[#This Row],[IRC]])</f>
        <v>8</v>
      </c>
      <c r="N2" t="str">
        <f t="shared" ref="N2:N3" si="0">IF(M22 &lt; $G$49, "Alto", IF(M22 &lt; $G$51, "Medio", "Bajo"))</f>
        <v>Bajo</v>
      </c>
      <c r="O2">
        <f>1-((Tabla13[[#This Row],[TPFM]]-$K$51) / ($K$50-$K$51))</f>
        <v>0.7142857142857143</v>
      </c>
      <c r="P2">
        <v>0.05</v>
      </c>
      <c r="Q2">
        <v>0</v>
      </c>
      <c r="R2">
        <f>SUM(Tabla13[[#This Row],[IPTFM]:[Comentarios2]])/3</f>
        <v>0.2547619047619048</v>
      </c>
      <c r="S2">
        <f>Tabla13[[#This Row],[CC]]/$S$48</f>
        <v>0.3</v>
      </c>
      <c r="T2" s="17">
        <f>(Tabla13[[#This Row],[ICLC]]+(1-Tabla13[[#This Row],[ICC]]))/2</f>
        <v>0.47738095238095235</v>
      </c>
      <c r="U2" t="str">
        <f>IF(Tabla13[[#This Row],[Valor general2]]&lt; $T$50, "Bajo", IF(Tabla13[[#This Row],[Valor general2]]&lt; $T$52, "Medio", "Alto"))</f>
        <v>Medio</v>
      </c>
      <c r="V2">
        <v>1</v>
      </c>
      <c r="W2" t="str">
        <f>IF(Tabla13[[#This Row],[INN]]&lt; $V$50, "Bajo", IF(Tabla13[[#This Row],[INN]]&lt; $V$52, "Medio", "Alto"))</f>
        <v>Alto</v>
      </c>
      <c r="X2" s="17">
        <f>Tabla13[[#This Row],[Valor general]]-Tabla13[[#This Row],[Valor general2]]-Tabla13[[#This Row],[INN]]</f>
        <v>6.522619047619048</v>
      </c>
      <c r="Y2" t="str">
        <f>IF(Tabla13[[#This Row],[Valor general de PC]]&lt; $X$50, "Alto", IF(Tabla13[[#This Row],[Valor general de PC]]&lt; $X$52, "Medio", "Bajo"))</f>
        <v>Medio</v>
      </c>
    </row>
    <row r="3" spans="1:25">
      <c r="A3" s="40">
        <v>2020184824</v>
      </c>
      <c r="B3" s="41" t="s">
        <v>27</v>
      </c>
      <c r="C3" s="41" t="s">
        <v>28</v>
      </c>
      <c r="D3" s="41">
        <v>2</v>
      </c>
      <c r="E3" s="41">
        <v>0</v>
      </c>
      <c r="F3" s="41">
        <v>1</v>
      </c>
      <c r="G3" s="41">
        <v>0</v>
      </c>
      <c r="H3">
        <f>0/Tabla13[[#This Row],[LoCode]]</f>
        <v>0</v>
      </c>
      <c r="I3" s="41">
        <f>Tabla13[[#This Row],[ERL]]+Tabla13[[#This Row],[IRL]]</f>
        <v>0</v>
      </c>
      <c r="J3" s="41">
        <v>1</v>
      </c>
      <c r="K3" s="41">
        <f>Tabla13[[#This Row],[LoCode]]/Tabla13[[#This Row],[NoFunctions]]</f>
        <v>2</v>
      </c>
      <c r="L3" s="41">
        <v>0</v>
      </c>
      <c r="M3" s="41" cm="1">
        <f t="array" ref="M3">SUM(Tabla13[[#This Row],[CC]:[IDC]] - Tabla13[[#This Row],[IRC]])</f>
        <v>3</v>
      </c>
      <c r="N3" s="41" t="str">
        <f>IF(Tabla13[[#This Row],[Valor general]]&lt; $D$50, "Alto", IF(Tabla13[[#This Row],[Valor general]]&lt; $D$52, "Medio", "Bajo"))</f>
        <v>Alto</v>
      </c>
      <c r="O3" s="41">
        <f>1-((Tabla13[[#This Row],[TPFM]]-$K$51) / ($K$50-$K$51))</f>
        <v>1</v>
      </c>
      <c r="P3" s="41">
        <v>2.5000000000000001E-2</v>
      </c>
      <c r="Q3" s="41">
        <v>0</v>
      </c>
      <c r="R3" s="41">
        <f>SUM(Tabla13[[#This Row],[IPTFM]:[Comentarios2]])/3</f>
        <v>0.34166666666666662</v>
      </c>
      <c r="S3" s="41">
        <f>Tabla13[[#This Row],[CC]]/$S$48</f>
        <v>0.1</v>
      </c>
      <c r="T3" s="42">
        <f>(Tabla13[[#This Row],[ICLC]]+(1-Tabla13[[#This Row],[ICC]]))/2</f>
        <v>0.62083333333333335</v>
      </c>
      <c r="U3" s="41" t="str">
        <f>IF(Tabla13[[#This Row],[Valor general2]]&lt; $T$50, "Bajo", IF(Tabla13[[#This Row],[Valor general2]]&lt; $T$52, "Medio", "Alto"))</f>
        <v>Alto</v>
      </c>
      <c r="V3">
        <v>1</v>
      </c>
      <c r="W3" s="41" t="str">
        <f>IF(Tabla13[[#This Row],[INN]]&lt; $V$50, "Bajo", IF(Tabla13[[#This Row],[INN]]&lt; $V$52, "Medio", "Alto"))</f>
        <v>Alto</v>
      </c>
      <c r="X3" s="42">
        <f>Tabla13[[#This Row],[Valor general]]-Tabla13[[#This Row],[Valor general2]]-Tabla13[[#This Row],[INN]]</f>
        <v>1.3791666666666664</v>
      </c>
      <c r="Y3" s="41" t="str">
        <f>IF(Tabla13[[#This Row],[Valor general de PC]]&lt; $X$50, "Alto", IF(Tabla13[[#This Row],[Valor general de PC]]&lt; $X$52, "Medio", "Bajo"))</f>
        <v>Alto</v>
      </c>
    </row>
    <row r="4" spans="1:25" s="21" customFormat="1">
      <c r="A4" s="20">
        <v>2022000033</v>
      </c>
      <c r="B4" s="21" t="s">
        <v>29</v>
      </c>
      <c r="C4" s="21" t="s">
        <v>30</v>
      </c>
      <c r="D4" s="21">
        <v>8</v>
      </c>
      <c r="E4" s="21">
        <v>2</v>
      </c>
      <c r="F4" s="21">
        <v>1</v>
      </c>
      <c r="G4" s="21">
        <v>0</v>
      </c>
      <c r="H4">
        <f>0/Tabla13[[#This Row],[LoCode]]</f>
        <v>0</v>
      </c>
      <c r="I4" s="21">
        <f>Tabla13[[#This Row],[ERL]]+Tabla13[[#This Row],[IRL]]</f>
        <v>0</v>
      </c>
      <c r="J4" s="21">
        <v>4</v>
      </c>
      <c r="K4" s="21">
        <f>Tabla13[[#This Row],[LoCode]]/Tabla13[[#This Row],[NoFunctions]]</f>
        <v>8</v>
      </c>
      <c r="L4" s="21">
        <v>0.25</v>
      </c>
      <c r="M4" s="21" cm="1">
        <f t="array" ref="M4">SUM(Tabla13[[#This Row],[CC]:[IDC]] - Tabla13[[#This Row],[IRC]])</f>
        <v>12.25</v>
      </c>
      <c r="N4" s="21" t="str">
        <f>IF(Tabla13[[#This Row],[Valor general]]&lt; $D$50, "Alto", IF(Tabla13[[#This Row],[Valor general]]&lt; $D$52, "Medio", "Bajo"))</f>
        <v>Medio</v>
      </c>
      <c r="O4" s="24">
        <f>1-((Tabla13[[#This Row],[TPFM]]-$K$51) / ($K$50-$K$51))</f>
        <v>0.4285714285714286</v>
      </c>
      <c r="P4" s="24">
        <v>2.4299999999999999E-2</v>
      </c>
      <c r="Q4" s="21">
        <v>0</v>
      </c>
      <c r="R4" s="24">
        <f>SUM(Tabla13[[#This Row],[IPTFM]:[Comentarios2]])/3</f>
        <v>0.15095714285714287</v>
      </c>
      <c r="S4" s="21">
        <f>Tabla13[[#This Row],[CC]]/$S$48</f>
        <v>0.4</v>
      </c>
      <c r="T4" s="24">
        <f>(Tabla13[[#This Row],[ICLC]]+(1-Tabla13[[#This Row],[ICC]]))/2</f>
        <v>0.37547857142857144</v>
      </c>
      <c r="U4" s="21" t="str">
        <f>IF(Tabla13[[#This Row],[Valor general2]]&lt; $T$50, "Bajo", IF(Tabla13[[#This Row],[Valor general2]]&lt; $T$52, "Medio", "Alto"))</f>
        <v>Bajo</v>
      </c>
      <c r="V4">
        <v>1</v>
      </c>
      <c r="W4" s="21" t="str">
        <f>IF(Tabla13[[#This Row],[INN]]&lt; $V$50, "Bajo", IF(Tabla13[[#This Row],[INN]]&lt; $V$52, "Medio", "Alto"))</f>
        <v>Alto</v>
      </c>
      <c r="X4" s="24">
        <f>Tabla13[[#This Row],[Valor general]]-Tabla13[[#This Row],[Valor general2]]-Tabla13[[#This Row],[INN]]</f>
        <v>10.874521428571429</v>
      </c>
      <c r="Y4" s="21" t="str">
        <f>IF(Tabla13[[#This Row],[Valor general de PC]]&lt; $X$50, "Alto", IF(Tabla13[[#This Row],[Valor general de PC]]&lt; $X$52, "Medio", "Bajo"))</f>
        <v>Medio</v>
      </c>
    </row>
    <row r="5" spans="1:25">
      <c r="A5" s="2">
        <v>2022146515</v>
      </c>
      <c r="B5" t="s">
        <v>27</v>
      </c>
      <c r="D5">
        <v>7</v>
      </c>
      <c r="E5">
        <v>2</v>
      </c>
      <c r="F5">
        <v>1</v>
      </c>
      <c r="G5">
        <v>0</v>
      </c>
      <c r="H5">
        <f>0/Tabla13[[#This Row],[LoCode]]</f>
        <v>0</v>
      </c>
      <c r="I5">
        <f>Tabla13[[#This Row],[ERL]]+Tabla13[[#This Row],[IRL]]</f>
        <v>0</v>
      </c>
      <c r="J5">
        <v>3</v>
      </c>
      <c r="K5">
        <f>Tabla13[[#This Row],[LoCode]]/Tabla13[[#This Row],[NoFunctions]]</f>
        <v>7</v>
      </c>
      <c r="L5">
        <v>0</v>
      </c>
      <c r="M5" cm="1">
        <f t="array" ref="M5">SUM(Tabla13[[#This Row],[CC]:[IDC]] - Tabla13[[#This Row],[IRC]])</f>
        <v>10</v>
      </c>
      <c r="N5" s="21" t="str">
        <f>IF(Tabla13[[#This Row],[Valor general]]&lt; $D$50, "Alto", IF(Tabla13[[#This Row],[Valor general]]&lt; $D$52, "Medio", "Bajo"))</f>
        <v>Medio</v>
      </c>
      <c r="O5">
        <f>1-((Tabla13[[#This Row],[TPFM]]-$K$51) / ($K$50-$K$51))</f>
        <v>0.52380952380952384</v>
      </c>
      <c r="P5" s="17">
        <v>0.02</v>
      </c>
      <c r="Q5">
        <v>0.03</v>
      </c>
      <c r="R5" s="17">
        <f>SUM(Tabla13[[#This Row],[IPTFM]:[Comentarios2]])/3</f>
        <v>0.19126984126984128</v>
      </c>
      <c r="S5">
        <f>Tabla13[[#This Row],[CC]]/$S$48</f>
        <v>0.3</v>
      </c>
      <c r="T5" s="24">
        <f>(Tabla13[[#This Row],[ICLC]]+(1-Tabla13[[#This Row],[ICC]]))/2</f>
        <v>0.44563492063492061</v>
      </c>
      <c r="U5" t="str">
        <f>IF(Tabla13[[#This Row],[Valor general2]]&lt; $T$50, "Bajo", IF(Tabla13[[#This Row],[Valor general2]]&lt; $T$52, "Medio", "Alto"))</f>
        <v>Medio</v>
      </c>
      <c r="V5">
        <v>1</v>
      </c>
      <c r="W5" t="str">
        <f>IF(Tabla13[[#This Row],[INN]]&lt; $V$50, "Bajo", IF(Tabla13[[#This Row],[INN]]&lt; $V$52, "Medio", "Alto"))</f>
        <v>Alto</v>
      </c>
      <c r="X5" s="17">
        <f>Tabla13[[#This Row],[Valor general]]-Tabla13[[#This Row],[Valor general2]]-Tabla13[[#This Row],[INN]]</f>
        <v>8.5543650793650787</v>
      </c>
      <c r="Y5" s="21" t="str">
        <f>IF(Tabla13[[#This Row],[Valor general de PC]]&lt; $X$50, "Alto", IF(Tabla13[[#This Row],[Valor general de PC]]&lt; $X$52, "Medio", "Bajo"))</f>
        <v>Medio</v>
      </c>
    </row>
    <row r="6" spans="1:25" s="44" customFormat="1">
      <c r="A6" s="43">
        <v>2022163260</v>
      </c>
      <c r="B6" s="44" t="s">
        <v>27</v>
      </c>
      <c r="C6" s="44" t="s">
        <v>28</v>
      </c>
      <c r="D6" s="44">
        <v>5</v>
      </c>
      <c r="E6" s="44">
        <v>0</v>
      </c>
      <c r="F6" s="44">
        <v>1</v>
      </c>
      <c r="G6" s="44">
        <v>0</v>
      </c>
      <c r="H6">
        <f>0/Tabla13[[#This Row],[LoCode]]</f>
        <v>0</v>
      </c>
      <c r="I6" s="44">
        <f>Tabla13[[#This Row],[ERL]]+Tabla13[[#This Row],[IRL]]</f>
        <v>0</v>
      </c>
      <c r="J6" s="44">
        <v>3</v>
      </c>
      <c r="K6" s="44">
        <f>Tabla13[[#This Row],[LoCode]]/Tabla13[[#This Row],[NoFunctions]]</f>
        <v>5</v>
      </c>
      <c r="L6" s="44">
        <v>0</v>
      </c>
      <c r="M6" s="44" cm="1">
        <f t="array" ref="M6">SUM(Tabla13[[#This Row],[CC]:[IDC]] - Tabla13[[#This Row],[IRC]])</f>
        <v>8</v>
      </c>
      <c r="N6" s="44" t="str">
        <f>IF(Tabla13[[#This Row],[Valor general]]&lt; $D$50, "Alto", IF(Tabla13[[#This Row],[Valor general]]&lt; $D$52, "Medio", "Bajo"))</f>
        <v>Medio</v>
      </c>
      <c r="O6" s="45">
        <f>1-((Tabla13[[#This Row],[TPFM]]-$K$51) / ($K$50-$K$51))</f>
        <v>0.7142857142857143</v>
      </c>
      <c r="P6" s="45">
        <v>2.5000000000000001E-2</v>
      </c>
      <c r="Q6" s="45">
        <v>2.0400000000000001E-2</v>
      </c>
      <c r="R6" s="45">
        <f>SUM(Tabla13[[#This Row],[IPTFM]:[Comentarios2]])/3</f>
        <v>0.25322857142857141</v>
      </c>
      <c r="S6" s="44">
        <f>Tabla13[[#This Row],[CC]]/$S$48</f>
        <v>0.3</v>
      </c>
      <c r="T6" s="45">
        <f>(Tabla13[[#This Row],[ICLC]]+(1-Tabla13[[#This Row],[ICC]]))/2</f>
        <v>0.47661428571428566</v>
      </c>
      <c r="U6" s="44" t="str">
        <f>IF(Tabla13[[#This Row],[Valor general2]]&lt; $T$50, "Bajo", IF(Tabla13[[#This Row],[Valor general2]]&lt; $T$52, "Medio", "Alto"))</f>
        <v>Medio</v>
      </c>
      <c r="V6">
        <v>1</v>
      </c>
      <c r="W6" s="44" t="str">
        <f>IF(Tabla13[[#This Row],[INN]]&lt; $V$50, "Bajo", IF(Tabla13[[#This Row],[INN]]&lt; $V$52, "Medio", "Alto"))</f>
        <v>Alto</v>
      </c>
      <c r="X6" s="45">
        <f>Tabla13[[#This Row],[Valor general]]-Tabla13[[#This Row],[Valor general2]]-Tabla13[[#This Row],[INN]]</f>
        <v>6.5233857142857143</v>
      </c>
      <c r="Y6" s="44" t="str">
        <f>IF(Tabla13[[#This Row],[Valor general de PC]]&lt; $X$50, "Alto", IF(Tabla13[[#This Row],[Valor general de PC]]&lt; $X$52, "Medio", "Bajo"))</f>
        <v>Medio</v>
      </c>
    </row>
    <row r="7" spans="1:25">
      <c r="A7" s="2">
        <v>2023066681</v>
      </c>
      <c r="B7" t="s">
        <v>29</v>
      </c>
      <c r="C7" t="s">
        <v>31</v>
      </c>
      <c r="D7">
        <v>17</v>
      </c>
      <c r="E7">
        <v>0</v>
      </c>
      <c r="F7">
        <v>1</v>
      </c>
      <c r="G7">
        <v>0</v>
      </c>
      <c r="H7">
        <f>1/Tabla13[[#This Row],[LoCode]]</f>
        <v>5.8823529411764705E-2</v>
      </c>
      <c r="I7">
        <f>Tabla13[[#This Row],[ERL]]+Tabla13[[#This Row],[IRL]]</f>
        <v>5.8823529411764705E-2</v>
      </c>
      <c r="J7">
        <v>5</v>
      </c>
      <c r="K7">
        <f>Tabla13[[#This Row],[LoCode]]/Tabla13[[#This Row],[NoFunctions]]</f>
        <v>17</v>
      </c>
      <c r="L7">
        <v>0.39410000000000001</v>
      </c>
      <c r="M7" cm="1">
        <f t="array" ref="M7">SUM(Tabla13[[#This Row],[CC]:[IDC]] - Tabla13[[#This Row],[IRC]])</f>
        <v>22.217629411764705</v>
      </c>
      <c r="N7" s="21" t="str">
        <f>IF(Tabla13[[#This Row],[Valor general]]&lt; $D$50, "Alto", IF(Tabla13[[#This Row],[Valor general]]&lt; $D$52, "Medio", "Bajo"))</f>
        <v>Bajo</v>
      </c>
      <c r="O7">
        <f>1-((Tabla13[[#This Row],[TPFM]]-$K$51) / ($K$50-$K$51))</f>
        <v>-0.4285714285714286</v>
      </c>
      <c r="P7" s="17">
        <v>0.02</v>
      </c>
      <c r="Q7">
        <v>0</v>
      </c>
      <c r="R7" s="17">
        <f>SUM(Tabla13[[#This Row],[IPTFM]:[Comentarios2]])/3</f>
        <v>-0.1361904761904762</v>
      </c>
      <c r="S7">
        <f>Tabla13[[#This Row],[CC]]/$S$48</f>
        <v>0.5</v>
      </c>
      <c r="T7" s="24">
        <f>(Tabla13[[#This Row],[ICLC]]+(1-Tabla13[[#This Row],[ICC]]))/2</f>
        <v>0.1819047619047619</v>
      </c>
      <c r="U7" t="str">
        <f>IF(Tabla13[[#This Row],[Valor general2]]&lt; $T$50, "Bajo", IF(Tabla13[[#This Row],[Valor general2]]&lt; $T$52, "Medio", "Alto"))</f>
        <v>Bajo</v>
      </c>
      <c r="V7">
        <v>1</v>
      </c>
      <c r="W7" t="str">
        <f>IF(Tabla13[[#This Row],[INN]]&lt; $V$50, "Bajo", IF(Tabla13[[#This Row],[INN]]&lt; $V$52, "Medio", "Alto"))</f>
        <v>Alto</v>
      </c>
      <c r="X7" s="17">
        <f>Tabla13[[#This Row],[Valor general]]-Tabla13[[#This Row],[Valor general2]]-Tabla13[[#This Row],[INN]]</f>
        <v>21.035724649859944</v>
      </c>
      <c r="Y7" s="21" t="str">
        <f>IF(Tabla13[[#This Row],[Valor general de PC]]&lt; $X$50, "Alto", IF(Tabla13[[#This Row],[Valor general de PC]]&lt; $X$52, "Medio", "Bajo"))</f>
        <v>Bajo</v>
      </c>
    </row>
    <row r="8" spans="1:25">
      <c r="A8" s="2">
        <v>2023112646</v>
      </c>
      <c r="B8" t="s">
        <v>29</v>
      </c>
      <c r="C8" t="s">
        <v>31</v>
      </c>
      <c r="D8">
        <v>23</v>
      </c>
      <c r="E8">
        <v>0</v>
      </c>
      <c r="F8">
        <v>1</v>
      </c>
      <c r="G8">
        <v>0</v>
      </c>
      <c r="H8">
        <f>1/Tabla13[[#This Row],[LoCode]]</f>
        <v>4.3478260869565216E-2</v>
      </c>
      <c r="I8">
        <f>Tabla13[[#This Row],[ERL]]+Tabla13[[#This Row],[IRL]]</f>
        <v>4.3478260869565216E-2</v>
      </c>
      <c r="J8">
        <v>7</v>
      </c>
      <c r="K8">
        <f>Tabla13[[#This Row],[LoCode]]/Tabla13[[#This Row],[NoFunctions]]</f>
        <v>23</v>
      </c>
      <c r="L8">
        <v>0.39129999999999998</v>
      </c>
      <c r="M8" cm="1">
        <f t="array" ref="M8">SUM(Tabla13[[#This Row],[CC]:[IDC]] - Tabla13[[#This Row],[IRC]])</f>
        <v>30.260865217391302</v>
      </c>
      <c r="N8" s="21" t="str">
        <f>IF(Tabla13[[#This Row],[Valor general]]&lt; $D$50, "Alto", IF(Tabla13[[#This Row],[Valor general]]&lt; $D$52, "Medio", "Bajo"))</f>
        <v>Bajo</v>
      </c>
      <c r="O8">
        <f>1-((Tabla13[[#This Row],[TPFM]]-$K$51) / ($K$50-$K$51))</f>
        <v>-1</v>
      </c>
      <c r="P8" s="17">
        <v>2.5000000000000001E-2</v>
      </c>
      <c r="Q8">
        <v>0</v>
      </c>
      <c r="R8" s="17">
        <f>SUM(Tabla13[[#This Row],[IPTFM]:[Comentarios2]])/3</f>
        <v>-0.32500000000000001</v>
      </c>
      <c r="S8">
        <f>Tabla13[[#This Row],[CC]]/$S$48</f>
        <v>0.7</v>
      </c>
      <c r="T8" s="24">
        <f>(Tabla13[[#This Row],[ICLC]]+(1-Tabla13[[#This Row],[ICC]]))/2</f>
        <v>-1.2499999999999983E-2</v>
      </c>
      <c r="U8" t="str">
        <f>IF(Tabla13[[#This Row],[Valor general2]]&lt; $T$50, "Bajo", IF(Tabla13[[#This Row],[Valor general2]]&lt; $T$52, "Medio", "Alto"))</f>
        <v>Bajo</v>
      </c>
      <c r="V8">
        <v>1</v>
      </c>
      <c r="W8" t="str">
        <f>IF(Tabla13[[#This Row],[INN]]&lt; $V$50, "Bajo", IF(Tabla13[[#This Row],[INN]]&lt; $V$52, "Medio", "Alto"))</f>
        <v>Alto</v>
      </c>
      <c r="X8" s="17">
        <f>Tabla13[[#This Row],[Valor general]]-Tabla13[[#This Row],[Valor general2]]-Tabla13[[#This Row],[INN]]</f>
        <v>29.273365217391301</v>
      </c>
      <c r="Y8" s="21" t="str">
        <f>IF(Tabla13[[#This Row],[Valor general de PC]]&lt; $X$50, "Alto", IF(Tabla13[[#This Row],[Valor general de PC]]&lt; $X$52, "Medio", "Bajo"))</f>
        <v>Bajo</v>
      </c>
    </row>
    <row r="9" spans="1:25" ht="15.95">
      <c r="A9" s="2">
        <v>2023147244</v>
      </c>
      <c r="B9" t="s">
        <v>27</v>
      </c>
      <c r="C9" s="3" t="s">
        <v>32</v>
      </c>
      <c r="D9">
        <v>21</v>
      </c>
      <c r="E9">
        <v>9</v>
      </c>
      <c r="F9">
        <v>4</v>
      </c>
      <c r="G9">
        <v>0</v>
      </c>
      <c r="H9">
        <v>0</v>
      </c>
      <c r="I9">
        <f>Tabla13[[#This Row],[ERL]]+Tabla13[[#This Row],[IRL]]</f>
        <v>0</v>
      </c>
      <c r="J9">
        <v>3</v>
      </c>
      <c r="K9">
        <f>Tabla13[[#This Row],[LoCode]]/Tabla13[[#This Row],[NoFunctions]]</f>
        <v>5.25</v>
      </c>
      <c r="L9">
        <v>0.66669999999999996</v>
      </c>
      <c r="M9" cm="1">
        <f t="array" ref="M9">SUM(Tabla13[[#This Row],[CC]:[IDC]] - Tabla13[[#This Row],[IRC]])</f>
        <v>8.9167000000000005</v>
      </c>
      <c r="N9" s="21" t="str">
        <f>IF(Tabla13[[#This Row],[Valor general]]&lt; $D$50, "Alto", IF(Tabla13[[#This Row],[Valor general]]&lt; $D$52, "Medio", "Bajo"))</f>
        <v>Medio</v>
      </c>
      <c r="O9">
        <f>1-((Tabla13[[#This Row],[TPFM]]-$K$51) / ($K$50-$K$51))</f>
        <v>0.69047619047619047</v>
      </c>
      <c r="P9" s="17">
        <v>9.7000000000000003E-2</v>
      </c>
      <c r="Q9">
        <v>0.13</v>
      </c>
      <c r="R9" s="17">
        <f>SUM(Tabla13[[#This Row],[IPTFM]:[Comentarios2]])/3</f>
        <v>0.30582539682539683</v>
      </c>
      <c r="S9">
        <f>Tabla13[[#This Row],[CC]]/$S$48</f>
        <v>0.3</v>
      </c>
      <c r="T9" s="24">
        <f>(Tabla13[[#This Row],[ICLC]]+(1-Tabla13[[#This Row],[ICC]]))/2</f>
        <v>0.50291269841269837</v>
      </c>
      <c r="U9" t="str">
        <f>IF(Tabla13[[#This Row],[Valor general2]]&lt; $T$50, "Bajo", IF(Tabla13[[#This Row],[Valor general2]]&lt; $T$52, "Medio", "Alto"))</f>
        <v>Alto</v>
      </c>
      <c r="V9">
        <v>1</v>
      </c>
      <c r="W9" t="str">
        <f>IF(Tabla13[[#This Row],[INN]]&lt; $V$50, "Bajo", IF(Tabla13[[#This Row],[INN]]&lt; $V$52, "Medio", "Alto"))</f>
        <v>Alto</v>
      </c>
      <c r="X9" s="17">
        <f>Tabla13[[#This Row],[Valor general]]-Tabla13[[#This Row],[Valor general2]]-Tabla13[[#This Row],[INN]]</f>
        <v>7.4137873015873019</v>
      </c>
      <c r="Y9" s="21" t="str">
        <f>IF(Tabla13[[#This Row],[Valor general de PC]]&lt; $X$50, "Alto", IF(Tabla13[[#This Row],[Valor general de PC]]&lt; $X$52, "Medio", "Bajo"))</f>
        <v>Medio</v>
      </c>
    </row>
    <row r="10" spans="1:25" s="7" customFormat="1" ht="32.1">
      <c r="A10" s="6">
        <v>2023152721</v>
      </c>
      <c r="B10" s="7" t="s">
        <v>25</v>
      </c>
      <c r="C10" s="8" t="s">
        <v>33</v>
      </c>
      <c r="D10" s="7">
        <v>7</v>
      </c>
      <c r="E10" s="7">
        <v>0</v>
      </c>
      <c r="F10" s="7">
        <v>1</v>
      </c>
      <c r="G10" s="7">
        <v>0</v>
      </c>
      <c r="H10" s="7">
        <v>0</v>
      </c>
      <c r="I10" s="7">
        <f>Tabla13[[#This Row],[ERL]]+Tabla13[[#This Row],[IRL]]</f>
        <v>0</v>
      </c>
      <c r="J10" s="7">
        <v>3</v>
      </c>
      <c r="K10" s="7">
        <f>Tabla13[[#This Row],[LoCode]]/Tabla13[[#This Row],[NoFunctions]]</f>
        <v>7</v>
      </c>
      <c r="L10" s="7">
        <v>0</v>
      </c>
      <c r="M10" s="7" cm="1">
        <f t="array" ref="M10">SUM(Tabla13[[#This Row],[CC]:[IDC]] - Tabla13[[#This Row],[IRC]])</f>
        <v>10</v>
      </c>
      <c r="N10" s="7" t="str">
        <f>IF(Tabla13[[#This Row],[Valor general]]&lt; $D$50, "Alto", IF(Tabla13[[#This Row],[Valor general]]&lt; $D$52, "Medio", "Bajo"))</f>
        <v>Medio</v>
      </c>
      <c r="O10" s="19">
        <f>1-((Tabla13[[#This Row],[TPFM]]-$K$51) / ($K$50-$K$51))</f>
        <v>0.52380952380952384</v>
      </c>
      <c r="P10" s="19">
        <v>2.4299999999999999E-2</v>
      </c>
      <c r="Q10" s="7">
        <v>0</v>
      </c>
      <c r="R10" s="19">
        <f>SUM(Tabla13[[#This Row],[IPTFM]:[Comentarios2]])/3</f>
        <v>0.18270317460317462</v>
      </c>
      <c r="S10" s="7">
        <f>Tabla13[[#This Row],[CC]]/$S$48</f>
        <v>0.3</v>
      </c>
      <c r="T10" s="19">
        <f>(Tabla13[[#This Row],[ICLC]]+(1-Tabla13[[#This Row],[ICC]]))/2</f>
        <v>0.4413515873015873</v>
      </c>
      <c r="U10" s="7" t="str">
        <f>IF(Tabla13[[#This Row],[Valor general2]]&lt; $T$50, "Bajo", IF(Tabla13[[#This Row],[Valor general2]]&lt; $T$52, "Medio", "Alto"))</f>
        <v>Medio</v>
      </c>
      <c r="V10">
        <v>1</v>
      </c>
      <c r="W10" s="7" t="str">
        <f>IF(Tabla13[[#This Row],[INN]]&lt; $V$50, "Bajo", IF(Tabla13[[#This Row],[INN]]&lt; $V$52, "Medio", "Alto"))</f>
        <v>Alto</v>
      </c>
      <c r="X10" s="19">
        <f>Tabla13[[#This Row],[Valor general]]-Tabla13[[#This Row],[Valor general2]]-Tabla13[[#This Row],[INN]]</f>
        <v>8.5586484126984121</v>
      </c>
      <c r="Y10" s="7" t="str">
        <f>IF(Tabla13[[#This Row],[Valor general de PC]]&lt; $X$50, "Alto", IF(Tabla13[[#This Row],[Valor general de PC]]&lt; $X$52, "Medio", "Bajo"))</f>
        <v>Medio</v>
      </c>
    </row>
    <row r="11" spans="1:25">
      <c r="A11" s="2">
        <v>2024063271</v>
      </c>
      <c r="B11" t="s">
        <v>27</v>
      </c>
      <c r="D11">
        <v>18</v>
      </c>
      <c r="E11">
        <v>0</v>
      </c>
      <c r="F11">
        <v>2</v>
      </c>
      <c r="G11">
        <v>0</v>
      </c>
      <c r="H11">
        <f>2/Tabla13[[#This Row],[LoCode]]</f>
        <v>0.1111111111111111</v>
      </c>
      <c r="I11">
        <f>Tabla13[[#This Row],[ERL]]+Tabla13[[#This Row],[IRL]]</f>
        <v>0.1111111111111111</v>
      </c>
      <c r="J11">
        <v>4</v>
      </c>
      <c r="K11">
        <f>Tabla13[[#This Row],[LoCode]]/Tabla13[[#This Row],[NoFunctions]]</f>
        <v>9</v>
      </c>
      <c r="L11">
        <v>0.33329999999999999</v>
      </c>
      <c r="M11" cm="1">
        <f t="array" ref="M11">SUM(Tabla13[[#This Row],[CC]:[IDC]] - Tabla13[[#This Row],[IRC]])</f>
        <v>12.999966666666667</v>
      </c>
      <c r="N11" s="21" t="str">
        <f>IF(Tabla13[[#This Row],[Valor general]]&lt; $D$50, "Alto", IF(Tabla13[[#This Row],[Valor general]]&lt; $D$52, "Medio", "Bajo"))</f>
        <v>Medio</v>
      </c>
      <c r="O11">
        <f>1-((Tabla13[[#This Row],[TPFM]]-$K$51) / ($K$50-$K$51))</f>
        <v>0.33333333333333337</v>
      </c>
      <c r="P11" s="17">
        <v>0.02</v>
      </c>
      <c r="Q11">
        <v>0</v>
      </c>
      <c r="R11" s="17">
        <f>SUM(Tabla13[[#This Row],[IPTFM]:[Comentarios2]])/3</f>
        <v>0.1177777777777778</v>
      </c>
      <c r="S11">
        <f>Tabla13[[#This Row],[CC]]/$S$48</f>
        <v>0.4</v>
      </c>
      <c r="T11" s="24">
        <f>(Tabla13[[#This Row],[ICLC]]+(1-Tabla13[[#This Row],[ICC]]))/2</f>
        <v>0.35888888888888887</v>
      </c>
      <c r="U11" t="str">
        <f>IF(Tabla13[[#This Row],[Valor general2]]&lt; $T$50, "Bajo", IF(Tabla13[[#This Row],[Valor general2]]&lt; $T$52, "Medio", "Alto"))</f>
        <v>Bajo</v>
      </c>
      <c r="V11">
        <v>1</v>
      </c>
      <c r="W11" t="str">
        <f>IF(Tabla13[[#This Row],[INN]]&lt; $V$50, "Bajo", IF(Tabla13[[#This Row],[INN]]&lt; $V$52, "Medio", "Alto"))</f>
        <v>Alto</v>
      </c>
      <c r="X11" s="17">
        <f>Tabla13[[#This Row],[Valor general]]-Tabla13[[#This Row],[Valor general2]]-Tabla13[[#This Row],[INN]]</f>
        <v>11.641077777777779</v>
      </c>
      <c r="Y11" s="21" t="str">
        <f>IF(Tabla13[[#This Row],[Valor general de PC]]&lt; $X$50, "Alto", IF(Tabla13[[#This Row],[Valor general de PC]]&lt; $X$52, "Medio", "Bajo"))</f>
        <v>Bajo</v>
      </c>
    </row>
    <row r="12" spans="1:25">
      <c r="A12" s="2">
        <v>2024066829</v>
      </c>
      <c r="B12" t="s">
        <v>27</v>
      </c>
      <c r="D12">
        <v>5</v>
      </c>
      <c r="E12">
        <v>1</v>
      </c>
      <c r="F12">
        <v>1</v>
      </c>
      <c r="G12">
        <v>0</v>
      </c>
      <c r="H12">
        <v>0</v>
      </c>
      <c r="I12">
        <f>Tabla13[[#This Row],[ERL]]+Tabla13[[#This Row],[IRL]]</f>
        <v>0</v>
      </c>
      <c r="J12">
        <v>3</v>
      </c>
      <c r="K12">
        <f>Tabla13[[#This Row],[LoCode]]/Tabla13[[#This Row],[NoFunctions]]</f>
        <v>5</v>
      </c>
      <c r="L12">
        <v>0</v>
      </c>
      <c r="M12" cm="1">
        <f t="array" ref="M12">SUM(Tabla13[[#This Row],[CC]:[IDC]] - Tabla13[[#This Row],[IRC]])</f>
        <v>8</v>
      </c>
      <c r="N12" s="21" t="str">
        <f>IF(Tabla13[[#This Row],[Valor general]]&lt; $D$50, "Alto", IF(Tabla13[[#This Row],[Valor general]]&lt; $D$52, "Medio", "Bajo"))</f>
        <v>Medio</v>
      </c>
      <c r="O12">
        <f>1-((Tabla13[[#This Row],[TPFM]]-$K$51) / ($K$50-$K$51))</f>
        <v>0.7142857142857143</v>
      </c>
      <c r="P12" s="17">
        <v>2.5000000000000001E-2</v>
      </c>
      <c r="Q12">
        <v>0</v>
      </c>
      <c r="R12" s="17">
        <f>SUM(Tabla13[[#This Row],[IPTFM]:[Comentarios2]])/3</f>
        <v>0.24642857142857144</v>
      </c>
      <c r="S12">
        <f>Tabla13[[#This Row],[CC]]/$S$48</f>
        <v>0.3</v>
      </c>
      <c r="T12" s="24">
        <f>(Tabla13[[#This Row],[ICLC]]+(1-Tabla13[[#This Row],[ICC]]))/2</f>
        <v>0.4732142857142857</v>
      </c>
      <c r="U12" t="str">
        <f>IF(Tabla13[[#This Row],[Valor general2]]&lt; $T$50, "Bajo", IF(Tabla13[[#This Row],[Valor general2]]&lt; $T$52, "Medio", "Alto"))</f>
        <v>Medio</v>
      </c>
      <c r="V12">
        <v>1</v>
      </c>
      <c r="W12" t="str">
        <f>IF(Tabla13[[#This Row],[INN]]&lt; $V$50, "Bajo", IF(Tabla13[[#This Row],[INN]]&lt; $V$52, "Medio", "Alto"))</f>
        <v>Alto</v>
      </c>
      <c r="X12" s="17">
        <f>Tabla13[[#This Row],[Valor general]]-Tabla13[[#This Row],[Valor general2]]-Tabla13[[#This Row],[INN]]</f>
        <v>6.5267857142857144</v>
      </c>
      <c r="Y12" s="21" t="str">
        <f>IF(Tabla13[[#This Row],[Valor general de PC]]&lt; $X$50, "Alto", IF(Tabla13[[#This Row],[Valor general de PC]]&lt; $X$52, "Medio", "Bajo"))</f>
        <v>Medio</v>
      </c>
    </row>
    <row r="13" spans="1:25">
      <c r="A13" s="2">
        <v>2024070969</v>
      </c>
      <c r="B13" t="s">
        <v>25</v>
      </c>
      <c r="C13" t="s">
        <v>34</v>
      </c>
      <c r="D13">
        <v>5</v>
      </c>
      <c r="E13">
        <v>1</v>
      </c>
      <c r="F13">
        <v>3</v>
      </c>
      <c r="G13">
        <v>0</v>
      </c>
      <c r="H13">
        <f>3/Tabla13[[#This Row],[LoCode]]</f>
        <v>0.6</v>
      </c>
      <c r="I13">
        <f>Tabla13[[#This Row],[ERL]]+Tabla13[[#This Row],[IRL]]</f>
        <v>0.6</v>
      </c>
      <c r="J13">
        <v>3.3333330000000001</v>
      </c>
      <c r="K13">
        <f>Tabla13[[#This Row],[LoCode]]/Tabla13[[#This Row],[NoFunctions]]</f>
        <v>1.6666666666666667</v>
      </c>
      <c r="L13">
        <v>0.52380000000000004</v>
      </c>
      <c r="M13" cm="1">
        <f t="array" ref="M13">SUM(Tabla13[[#This Row],[CC]:[IDC]] - Tabla13[[#This Row],[IRC]])</f>
        <v>3.7237996666666668</v>
      </c>
      <c r="N13" s="21" t="str">
        <f>IF(Tabla13[[#This Row],[Valor general]]&lt; $D$50, "Alto", IF(Tabla13[[#This Row],[Valor general]]&lt; $D$52, "Medio", "Bajo"))</f>
        <v>Alto</v>
      </c>
      <c r="O13">
        <f>1-((Tabla13[[#This Row],[TPFM]]-$K$51) / ($K$50-$K$51))</f>
        <v>1.0317460317460316</v>
      </c>
      <c r="P13" s="17">
        <v>0.1</v>
      </c>
      <c r="Q13">
        <v>0.02</v>
      </c>
      <c r="R13" s="17">
        <f>SUM(Tabla13[[#This Row],[IPTFM]:[Comentarios2]])/3</f>
        <v>0.38391534391534393</v>
      </c>
      <c r="S13">
        <f>Tabla13[[#This Row],[CC]]/$S$48</f>
        <v>0.3333333</v>
      </c>
      <c r="T13" s="24">
        <f>(Tabla13[[#This Row],[ICLC]]+(1-Tabla13[[#This Row],[ICC]]))/2</f>
        <v>0.52529102195767197</v>
      </c>
      <c r="U13" t="str">
        <f>IF(Tabla13[[#This Row],[Valor general2]]&lt; $T$50, "Bajo", IF(Tabla13[[#This Row],[Valor general2]]&lt; $T$52, "Medio", "Alto"))</f>
        <v>Alto</v>
      </c>
      <c r="V13">
        <v>1</v>
      </c>
      <c r="W13" t="str">
        <f>IF(Tabla13[[#This Row],[INN]]&lt; $V$50, "Bajo", IF(Tabla13[[#This Row],[INN]]&lt; $V$52, "Medio", "Alto"))</f>
        <v>Alto</v>
      </c>
      <c r="X13" s="17">
        <f>Tabla13[[#This Row],[Valor general]]-Tabla13[[#This Row],[Valor general2]]-Tabla13[[#This Row],[INN]]</f>
        <v>2.198508644708995</v>
      </c>
      <c r="Y13" s="21" t="str">
        <f>IF(Tabla13[[#This Row],[Valor general de PC]]&lt; $X$50, "Alto", IF(Tabla13[[#This Row],[Valor general de PC]]&lt; $X$52, "Medio", "Bajo"))</f>
        <v>Alto</v>
      </c>
    </row>
    <row r="14" spans="1:25">
      <c r="A14" s="2">
        <v>2024071983</v>
      </c>
      <c r="B14" t="s">
        <v>25</v>
      </c>
      <c r="C14" t="s">
        <v>26</v>
      </c>
      <c r="D14">
        <v>20</v>
      </c>
      <c r="E14">
        <v>1</v>
      </c>
      <c r="F14">
        <v>3</v>
      </c>
      <c r="G14">
        <v>0</v>
      </c>
      <c r="H14">
        <v>0</v>
      </c>
      <c r="I14">
        <f>Tabla13[[#This Row],[ERL]]+Tabla13[[#This Row],[IRL]]</f>
        <v>0</v>
      </c>
      <c r="J14">
        <v>3</v>
      </c>
      <c r="K14">
        <f>Tabla13[[#This Row],[LoCode]]/Tabla13[[#This Row],[NoFunctions]]</f>
        <v>6.666666666666667</v>
      </c>
      <c r="L14">
        <v>0.625</v>
      </c>
      <c r="M14" cm="1">
        <f t="array" ref="M14">SUM(Tabla13[[#This Row],[CC]:[IDC]] - Tabla13[[#This Row],[IRC]])</f>
        <v>10.291666666666668</v>
      </c>
      <c r="N14" s="21" t="str">
        <f>IF(Tabla13[[#This Row],[Valor general]]&lt; $D$50, "Alto", IF(Tabla13[[#This Row],[Valor general]]&lt; $D$52, "Medio", "Bajo"))</f>
        <v>Medio</v>
      </c>
      <c r="O14">
        <f>1-((Tabla13[[#This Row],[TPFM]]-$K$51) / ($K$50-$K$51))</f>
        <v>0.55555555555555558</v>
      </c>
      <c r="P14" s="17">
        <v>0.1</v>
      </c>
      <c r="Q14">
        <v>0.02</v>
      </c>
      <c r="R14" s="17">
        <f>SUM(Tabla13[[#This Row],[IPTFM]:[Comentarios2]])/3</f>
        <v>0.22518518518518518</v>
      </c>
      <c r="S14">
        <f>Tabla13[[#This Row],[CC]]/$S$48</f>
        <v>0.3</v>
      </c>
      <c r="T14" s="24">
        <f>(Tabla13[[#This Row],[ICLC]]+(1-Tabla13[[#This Row],[ICC]]))/2</f>
        <v>0.46259259259259256</v>
      </c>
      <c r="U14" t="str">
        <f>IF(Tabla13[[#This Row],[Valor general2]]&lt; $T$50, "Bajo", IF(Tabla13[[#This Row],[Valor general2]]&lt; $T$52, "Medio", "Alto"))</f>
        <v>Medio</v>
      </c>
      <c r="V14">
        <v>1</v>
      </c>
      <c r="W14" t="str">
        <f>IF(Tabla13[[#This Row],[INN]]&lt; $V$50, "Bajo", IF(Tabla13[[#This Row],[INN]]&lt; $V$52, "Medio", "Alto"))</f>
        <v>Alto</v>
      </c>
      <c r="X14" s="17">
        <f>Tabla13[[#This Row],[Valor general]]-Tabla13[[#This Row],[Valor general2]]-Tabla13[[#This Row],[INN]]</f>
        <v>8.8290740740740752</v>
      </c>
      <c r="Y14" s="21" t="str">
        <f>IF(Tabla13[[#This Row],[Valor general de PC]]&lt; $X$50, "Alto", IF(Tabla13[[#This Row],[Valor general de PC]]&lt; $X$52, "Medio", "Bajo"))</f>
        <v>Medio</v>
      </c>
    </row>
    <row r="15" spans="1:25">
      <c r="A15" s="2">
        <v>2024082949</v>
      </c>
      <c r="B15" t="s">
        <v>27</v>
      </c>
      <c r="C15" s="3"/>
      <c r="D15">
        <v>16</v>
      </c>
      <c r="E15">
        <v>1</v>
      </c>
      <c r="F15">
        <v>2</v>
      </c>
      <c r="G15">
        <v>0</v>
      </c>
      <c r="H15">
        <f>1/Tabla13[[#This Row],[LoCode]]</f>
        <v>6.25E-2</v>
      </c>
      <c r="I15">
        <f>Tabla13[[#This Row],[ERL]]+Tabla13[[#This Row],[IRL]]</f>
        <v>6.25E-2</v>
      </c>
      <c r="J15">
        <v>3</v>
      </c>
      <c r="K15">
        <f>Tabla13[[#This Row],[LoCode]]/Tabla13[[#This Row],[NoFunctions]]</f>
        <v>8</v>
      </c>
      <c r="L15">
        <v>0.45450000000000002</v>
      </c>
      <c r="M15" cm="1">
        <f t="array" ref="M15">SUM(Tabla13[[#This Row],[CC]:[IDC]] - Tabla13[[#This Row],[IRC]])</f>
        <v>11.266999999999999</v>
      </c>
      <c r="N15" s="21" t="str">
        <f>IF(Tabla13[[#This Row],[Valor general]]&lt; $D$50, "Alto", IF(Tabla13[[#This Row],[Valor general]]&lt; $D$52, "Medio", "Bajo"))</f>
        <v>Medio</v>
      </c>
      <c r="O15">
        <f>1-((Tabla13[[#This Row],[TPFM]]-$K$51) / ($K$50-$K$51))</f>
        <v>0.4285714285714286</v>
      </c>
      <c r="P15" s="17">
        <v>7.4999999999999997E-2</v>
      </c>
      <c r="Q15">
        <v>0</v>
      </c>
      <c r="R15" s="17">
        <f>SUM(Tabla13[[#This Row],[IPTFM]:[Comentarios2]])/3</f>
        <v>0.16785714285714284</v>
      </c>
      <c r="S15">
        <f>Tabla13[[#This Row],[CC]]/$S$48</f>
        <v>0.3</v>
      </c>
      <c r="T15" s="24">
        <f>(Tabla13[[#This Row],[ICLC]]+(1-Tabla13[[#This Row],[ICC]]))/2</f>
        <v>0.43392857142857139</v>
      </c>
      <c r="U15" t="str">
        <f>IF(Tabla13[[#This Row],[Valor general2]]&lt; $T$50, "Bajo", IF(Tabla13[[#This Row],[Valor general2]]&lt; $T$52, "Medio", "Alto"))</f>
        <v>Medio</v>
      </c>
      <c r="V15">
        <v>1</v>
      </c>
      <c r="W15" t="str">
        <f>IF(Tabla13[[#This Row],[INN]]&lt; $V$50, "Bajo", IF(Tabla13[[#This Row],[INN]]&lt; $V$52, "Medio", "Alto"))</f>
        <v>Alto</v>
      </c>
      <c r="X15" s="17">
        <f>Tabla13[[#This Row],[Valor general]]-Tabla13[[#This Row],[Valor general2]]-Tabla13[[#This Row],[INN]]</f>
        <v>9.8330714285714276</v>
      </c>
      <c r="Y15" s="21" t="str">
        <f>IF(Tabla13[[#This Row],[Valor general de PC]]&lt; $X$50, "Alto", IF(Tabla13[[#This Row],[Valor general de PC]]&lt; $X$52, "Medio", "Bajo"))</f>
        <v>Medio</v>
      </c>
    </row>
    <row r="16" spans="1:25">
      <c r="A16" s="2">
        <v>2024090884</v>
      </c>
      <c r="B16" t="s">
        <v>27</v>
      </c>
      <c r="C16" t="s">
        <v>35</v>
      </c>
      <c r="D16">
        <v>11</v>
      </c>
      <c r="E16">
        <v>0</v>
      </c>
      <c r="F16">
        <v>5</v>
      </c>
      <c r="G16">
        <v>0</v>
      </c>
      <c r="H16">
        <f>5/Tabla13[[#This Row],[LoCode]]</f>
        <v>0.45454545454545453</v>
      </c>
      <c r="I16">
        <f>Tabla13[[#This Row],[ERL]]+Tabla13[[#This Row],[IRL]]</f>
        <v>0.45454545454545453</v>
      </c>
      <c r="J16">
        <v>2.6</v>
      </c>
      <c r="K16">
        <f>Tabla13[[#This Row],[LoCode]]/Tabla13[[#This Row],[NoFunctions]]</f>
        <v>2.2000000000000002</v>
      </c>
      <c r="L16">
        <v>0.6129</v>
      </c>
      <c r="M16" cm="1">
        <f t="array" ref="M16">SUM(Tabla13[[#This Row],[CC]:[IDC]] - Tabla13[[#This Row],[IRC]])</f>
        <v>4.0492636363636363</v>
      </c>
      <c r="N16" s="21" t="str">
        <f>IF(Tabla13[[#This Row],[Valor general]]&lt; $D$50, "Alto", IF(Tabla13[[#This Row],[Valor general]]&lt; $D$52, "Medio", "Bajo"))</f>
        <v>Alto</v>
      </c>
      <c r="O16">
        <f>1-((Tabla13[[#This Row],[TPFM]]-$K$51) / ($K$50-$K$51))</f>
        <v>0.98095238095238091</v>
      </c>
      <c r="P16" s="17">
        <v>0.09</v>
      </c>
      <c r="Q16">
        <v>0</v>
      </c>
      <c r="R16" s="17">
        <f>SUM(Tabla13[[#This Row],[IPTFM]:[Comentarios2]])/3</f>
        <v>0.35698412698412696</v>
      </c>
      <c r="S16">
        <f>Tabla13[[#This Row],[CC]]/$S$48</f>
        <v>0.26</v>
      </c>
      <c r="T16" s="24">
        <f>(Tabla13[[#This Row],[ICLC]]+(1-Tabla13[[#This Row],[ICC]]))/2</f>
        <v>0.54849206349206348</v>
      </c>
      <c r="U16" t="str">
        <f>IF(Tabla13[[#This Row],[Valor general2]]&lt; $T$50, "Bajo", IF(Tabla13[[#This Row],[Valor general2]]&lt; $T$52, "Medio", "Alto"))</f>
        <v>Alto</v>
      </c>
      <c r="V16">
        <v>1</v>
      </c>
      <c r="W16" t="str">
        <f>IF(Tabla13[[#This Row],[INN]]&lt; $V$50, "Bajo", IF(Tabla13[[#This Row],[INN]]&lt; $V$52, "Medio", "Alto"))</f>
        <v>Alto</v>
      </c>
      <c r="X16" s="17">
        <f>Tabla13[[#This Row],[Valor general]]-Tabla13[[#This Row],[Valor general2]]-Tabla13[[#This Row],[INN]]</f>
        <v>2.5007715728715727</v>
      </c>
      <c r="Y16" s="21" t="str">
        <f>IF(Tabla13[[#This Row],[Valor general de PC]]&lt; $X$50, "Alto", IF(Tabla13[[#This Row],[Valor general de PC]]&lt; $X$52, "Medio", "Bajo"))</f>
        <v>Alto</v>
      </c>
    </row>
    <row r="17" spans="1:25">
      <c r="A17" s="2">
        <v>2024093410</v>
      </c>
      <c r="B17" t="s">
        <v>27</v>
      </c>
      <c r="D17">
        <v>31</v>
      </c>
      <c r="E17">
        <v>0</v>
      </c>
      <c r="F17">
        <v>1</v>
      </c>
      <c r="G17">
        <v>0</v>
      </c>
      <c r="H17">
        <v>0</v>
      </c>
      <c r="I17">
        <f>Tabla13[[#This Row],[ERL]]+Tabla13[[#This Row],[IRL]]</f>
        <v>0</v>
      </c>
      <c r="J17">
        <v>3</v>
      </c>
      <c r="K17">
        <f>Tabla13[[#This Row],[LoCode]]/Tabla13[[#This Row],[NoFunctions]]</f>
        <v>31</v>
      </c>
      <c r="L17">
        <v>0</v>
      </c>
      <c r="M17" cm="1">
        <f t="array" ref="M17">SUM(Tabla13[[#This Row],[CC]:[IDC]] - Tabla13[[#This Row],[IRC]])</f>
        <v>34</v>
      </c>
      <c r="N17" s="21" t="str">
        <f>IF(Tabla13[[#This Row],[Valor general]]&lt; $D$50, "Alto", IF(Tabla13[[#This Row],[Valor general]]&lt; $D$52, "Medio", "Bajo"))</f>
        <v>Bajo</v>
      </c>
      <c r="O17">
        <f>1-((Tabla13[[#This Row],[TPFM]]-$K$51) / ($K$50-$K$51))</f>
        <v>-1.7619047619047619</v>
      </c>
      <c r="P17" s="17">
        <v>0.05</v>
      </c>
      <c r="Q17">
        <v>0.02</v>
      </c>
      <c r="R17" s="17">
        <f>SUM(Tabla13[[#This Row],[IPTFM]:[Comentarios2]])/3</f>
        <v>-0.5639682539682539</v>
      </c>
      <c r="S17">
        <f>Tabla13[[#This Row],[CC]]/$S$48</f>
        <v>0.3</v>
      </c>
      <c r="T17" s="24">
        <f>(Tabla13[[#This Row],[ICLC]]+(1-Tabla13[[#This Row],[ICC]]))/2</f>
        <v>6.801587301587303E-2</v>
      </c>
      <c r="U17" t="str">
        <f>IF(Tabla13[[#This Row],[Valor general2]]&lt; $T$50, "Bajo", IF(Tabla13[[#This Row],[Valor general2]]&lt; $T$52, "Medio", "Alto"))</f>
        <v>Bajo</v>
      </c>
      <c r="V17">
        <v>1</v>
      </c>
      <c r="W17" t="str">
        <f>IF(Tabla13[[#This Row],[INN]]&lt; $V$50, "Bajo", IF(Tabla13[[#This Row],[INN]]&lt; $V$52, "Medio", "Alto"))</f>
        <v>Alto</v>
      </c>
      <c r="X17" s="17">
        <f>Tabla13[[#This Row],[Valor general]]-Tabla13[[#This Row],[Valor general2]]-Tabla13[[#This Row],[INN]]</f>
        <v>32.931984126984126</v>
      </c>
      <c r="Y17" s="21" t="str">
        <f>IF(Tabla13[[#This Row],[Valor general de PC]]&lt; $X$50, "Alto", IF(Tabla13[[#This Row],[Valor general de PC]]&lt; $X$52, "Medio", "Bajo"))</f>
        <v>Bajo</v>
      </c>
    </row>
    <row r="18" spans="1:25" ht="32.1">
      <c r="A18" s="2">
        <v>2024096731</v>
      </c>
      <c r="B18" t="s">
        <v>25</v>
      </c>
      <c r="C18" s="3" t="s">
        <v>36</v>
      </c>
      <c r="D18">
        <v>5</v>
      </c>
      <c r="E18">
        <v>2</v>
      </c>
      <c r="F18">
        <v>2</v>
      </c>
      <c r="G18">
        <v>0</v>
      </c>
      <c r="H18">
        <f>2/Tabla13[[#This Row],[LoCode]]</f>
        <v>0.4</v>
      </c>
      <c r="I18">
        <f>Tabla13[[#This Row],[ERL]]+Tabla13[[#This Row],[IRL]]</f>
        <v>0.4</v>
      </c>
      <c r="J18">
        <v>2</v>
      </c>
      <c r="K18">
        <f>Tabla13[[#This Row],[LoCode]]/Tabla13[[#This Row],[NoFunctions]]</f>
        <v>2.5</v>
      </c>
      <c r="L18">
        <v>0.21049999999999999</v>
      </c>
      <c r="M18" cm="1">
        <f t="array" ref="M18">SUM(Tabla13[[#This Row],[CC]:[IDC]] - Tabla13[[#This Row],[IRC]])</f>
        <v>3.5105</v>
      </c>
      <c r="N18" s="21" t="str">
        <f>IF(Tabla13[[#This Row],[Valor general]]&lt; $D$50, "Alto", IF(Tabla13[[#This Row],[Valor general]]&lt; $D$52, "Medio", "Bajo"))</f>
        <v>Alto</v>
      </c>
      <c r="O18">
        <f>1-((Tabla13[[#This Row],[TPFM]]-$K$51) / ($K$50-$K$51))</f>
        <v>0.95238095238095233</v>
      </c>
      <c r="P18" s="17">
        <v>0.02</v>
      </c>
      <c r="Q18">
        <v>0</v>
      </c>
      <c r="R18" s="17">
        <f>SUM(Tabla13[[#This Row],[IPTFM]:[Comentarios2]])/3</f>
        <v>0.3241269841269841</v>
      </c>
      <c r="S18">
        <f>Tabla13[[#This Row],[CC]]/$S$48</f>
        <v>0.2</v>
      </c>
      <c r="T18" s="24">
        <f>(Tabla13[[#This Row],[ICLC]]+(1-Tabla13[[#This Row],[ICC]]))/2</f>
        <v>0.56206349206349204</v>
      </c>
      <c r="U18" t="str">
        <f>IF(Tabla13[[#This Row],[Valor general2]]&lt; $T$50, "Bajo", IF(Tabla13[[#This Row],[Valor general2]]&lt; $T$52, "Medio", "Alto"))</f>
        <v>Alto</v>
      </c>
      <c r="V18">
        <v>1</v>
      </c>
      <c r="W18" t="str">
        <f>IF(Tabla13[[#This Row],[INN]]&lt; $V$50, "Bajo", IF(Tabla13[[#This Row],[INN]]&lt; $V$52, "Medio", "Alto"))</f>
        <v>Alto</v>
      </c>
      <c r="X18" s="17">
        <f>Tabla13[[#This Row],[Valor general]]-Tabla13[[#This Row],[Valor general2]]-Tabla13[[#This Row],[INN]]</f>
        <v>1.948436507936508</v>
      </c>
      <c r="Y18" s="21" t="str">
        <f>IF(Tabla13[[#This Row],[Valor general de PC]]&lt; $X$50, "Alto", IF(Tabla13[[#This Row],[Valor general de PC]]&lt; $X$52, "Medio", "Bajo"))</f>
        <v>Alto</v>
      </c>
    </row>
    <row r="19" spans="1:25">
      <c r="A19" s="2">
        <v>2024099007</v>
      </c>
      <c r="B19" t="s">
        <v>27</v>
      </c>
      <c r="D19">
        <v>19</v>
      </c>
      <c r="E19">
        <v>0</v>
      </c>
      <c r="F19">
        <v>1</v>
      </c>
      <c r="G19">
        <v>0</v>
      </c>
      <c r="H19">
        <v>0</v>
      </c>
      <c r="I19">
        <f>Tabla13[[#This Row],[ERL]]+Tabla13[[#This Row],[IRL]]</f>
        <v>0</v>
      </c>
      <c r="J19">
        <v>4</v>
      </c>
      <c r="K19">
        <f>Tabla13[[#This Row],[LoCode]]/Tabla13[[#This Row],[NoFunctions]]</f>
        <v>19</v>
      </c>
      <c r="L19">
        <v>0.25</v>
      </c>
      <c r="M19" cm="1">
        <f t="array" ref="M19">SUM(Tabla13[[#This Row],[CC]:[IDC]] - Tabla13[[#This Row],[IRC]])</f>
        <v>23.25</v>
      </c>
      <c r="N19" s="21" t="str">
        <f>IF(Tabla13[[#This Row],[Valor general]]&lt; $D$50, "Alto", IF(Tabla13[[#This Row],[Valor general]]&lt; $D$52, "Medio", "Bajo"))</f>
        <v>Bajo</v>
      </c>
      <c r="O19">
        <f>1-((Tabla13[[#This Row],[TPFM]]-$K$51) / ($K$50-$K$51))</f>
        <v>-0.61904761904761907</v>
      </c>
      <c r="P19" s="17">
        <v>0.02</v>
      </c>
      <c r="Q19">
        <v>0</v>
      </c>
      <c r="R19" s="17">
        <f>SUM(Tabla13[[#This Row],[IPTFM]:[Comentarios2]])/3</f>
        <v>-0.19968253968253968</v>
      </c>
      <c r="S19">
        <f>Tabla13[[#This Row],[CC]]/$S$48</f>
        <v>0.4</v>
      </c>
      <c r="T19" s="24">
        <f>(Tabla13[[#This Row],[ICLC]]+(1-Tabla13[[#This Row],[ICC]]))/2</f>
        <v>0.20015873015873015</v>
      </c>
      <c r="U19" t="str">
        <f>IF(Tabla13[[#This Row],[Valor general2]]&lt; $T$50, "Bajo", IF(Tabla13[[#This Row],[Valor general2]]&lt; $T$52, "Medio", "Alto"))</f>
        <v>Bajo</v>
      </c>
      <c r="V19">
        <v>1</v>
      </c>
      <c r="W19" t="str">
        <f>IF(Tabla13[[#This Row],[INN]]&lt; $V$50, "Bajo", IF(Tabla13[[#This Row],[INN]]&lt; $V$52, "Medio", "Alto"))</f>
        <v>Alto</v>
      </c>
      <c r="X19" s="17">
        <f>Tabla13[[#This Row],[Valor general]]-Tabla13[[#This Row],[Valor general2]]-Tabla13[[#This Row],[INN]]</f>
        <v>22.04984126984127</v>
      </c>
      <c r="Y19" s="21" t="str">
        <f>IF(Tabla13[[#This Row],[Valor general de PC]]&lt; $X$50, "Alto", IF(Tabla13[[#This Row],[Valor general de PC]]&lt; $X$52, "Medio", "Bajo"))</f>
        <v>Bajo</v>
      </c>
    </row>
    <row r="20" spans="1:25">
      <c r="A20" s="2">
        <v>2024109692</v>
      </c>
      <c r="B20" t="s">
        <v>25</v>
      </c>
      <c r="C20" t="s">
        <v>26</v>
      </c>
      <c r="D20">
        <v>8</v>
      </c>
      <c r="E20">
        <v>0</v>
      </c>
      <c r="F20">
        <v>2</v>
      </c>
      <c r="G20">
        <v>0</v>
      </c>
      <c r="H20">
        <f>1/Tabla13[[#This Row],[LoCode]]</f>
        <v>0.125</v>
      </c>
      <c r="I20">
        <f>Tabla13[[#This Row],[ERL]]+Tabla13[[#This Row],[IRL]]</f>
        <v>0.125</v>
      </c>
      <c r="J20">
        <v>2</v>
      </c>
      <c r="K20">
        <f>Tabla13[[#This Row],[LoCode]]/Tabla13[[#This Row],[NoFunctions]]</f>
        <v>4</v>
      </c>
      <c r="L20">
        <v>7.6899999999999996E-2</v>
      </c>
      <c r="M20" cm="1">
        <f t="array" ref="M20">SUM(Tabla13[[#This Row],[CC]:[IDC]] - Tabla13[[#This Row],[IRC]])</f>
        <v>5.7019000000000002</v>
      </c>
      <c r="N20" s="21" t="str">
        <f>IF(Tabla13[[#This Row],[Valor general]]&lt; $D$50, "Alto", IF(Tabla13[[#This Row],[Valor general]]&lt; $D$52, "Medio", "Bajo"))</f>
        <v>Alto</v>
      </c>
      <c r="O20">
        <f>1-((Tabla13[[#This Row],[TPFM]]-$K$51) / ($K$50-$K$51))</f>
        <v>0.80952380952380953</v>
      </c>
      <c r="P20" s="17">
        <v>0.04</v>
      </c>
      <c r="Q20">
        <v>0</v>
      </c>
      <c r="R20" s="17">
        <f>SUM(Tabla13[[#This Row],[IPTFM]:[Comentarios2]])/3</f>
        <v>0.28317460317460319</v>
      </c>
      <c r="S20">
        <f>Tabla13[[#This Row],[CC]]/$S$48</f>
        <v>0.2</v>
      </c>
      <c r="T20" s="24">
        <f>(Tabla13[[#This Row],[ICLC]]+(1-Tabla13[[#This Row],[ICC]]))/2</f>
        <v>0.54158730158730162</v>
      </c>
      <c r="U20" t="str">
        <f>IF(Tabla13[[#This Row],[Valor general2]]&lt; $T$50, "Bajo", IF(Tabla13[[#This Row],[Valor general2]]&lt; $T$52, "Medio", "Alto"))</f>
        <v>Alto</v>
      </c>
      <c r="V20">
        <v>1</v>
      </c>
      <c r="W20" t="str">
        <f>IF(Tabla13[[#This Row],[INN]]&lt; $V$50, "Bajo", IF(Tabla13[[#This Row],[INN]]&lt; $V$52, "Medio", "Alto"))</f>
        <v>Alto</v>
      </c>
      <c r="X20" s="17">
        <f>Tabla13[[#This Row],[Valor general]]-Tabla13[[#This Row],[Valor general2]]-Tabla13[[#This Row],[INN]]</f>
        <v>4.1603126984126986</v>
      </c>
      <c r="Y20" s="21" t="str">
        <f>IF(Tabla13[[#This Row],[Valor general de PC]]&lt; $X$50, "Alto", IF(Tabla13[[#This Row],[Valor general de PC]]&lt; $X$52, "Medio", "Bajo"))</f>
        <v>Alto</v>
      </c>
    </row>
    <row r="21" spans="1:25">
      <c r="A21" s="2">
        <v>2024112230</v>
      </c>
      <c r="B21" t="s">
        <v>27</v>
      </c>
      <c r="C21" t="s">
        <v>35</v>
      </c>
      <c r="D21">
        <v>13</v>
      </c>
      <c r="E21">
        <v>3</v>
      </c>
      <c r="F21">
        <v>4</v>
      </c>
      <c r="G21">
        <v>0</v>
      </c>
      <c r="H21">
        <f>5/Tabla13[[#This Row],[LoCode]]</f>
        <v>0.38461538461538464</v>
      </c>
      <c r="I21">
        <f>Tabla13[[#This Row],[ERL]]+Tabla13[[#This Row],[IRL]]</f>
        <v>0.38461538461538464</v>
      </c>
      <c r="J21">
        <v>3</v>
      </c>
      <c r="K21">
        <f>Tabla13[[#This Row],[LoCode]]/Tabla13[[#This Row],[NoFunctions]]</f>
        <v>3.25</v>
      </c>
      <c r="L21">
        <v>0.64290000000000003</v>
      </c>
      <c r="M21" cm="1">
        <f t="array" ref="M21">SUM(Tabla13[[#This Row],[CC]:[IDC]] - Tabla13[[#This Row],[IRC]])</f>
        <v>5.7390538461538458</v>
      </c>
      <c r="N21" s="21" t="str">
        <f>IF(Tabla13[[#This Row],[Valor general]]&lt; $D$50, "Alto", IF(Tabla13[[#This Row],[Valor general]]&lt; $D$52, "Medio", "Bajo"))</f>
        <v>Alto</v>
      </c>
      <c r="O21">
        <f>1-((Tabla13[[#This Row],[TPFM]]-$K$51) / ($K$50-$K$51))</f>
        <v>0.88095238095238093</v>
      </c>
      <c r="P21" s="17">
        <v>0.1</v>
      </c>
      <c r="Q21">
        <v>1.6E-2</v>
      </c>
      <c r="R21" s="17">
        <f>SUM(Tabla13[[#This Row],[IPTFM]:[Comentarios2]])/3</f>
        <v>0.33231746031746029</v>
      </c>
      <c r="S21">
        <f>Tabla13[[#This Row],[CC]]/$S$48</f>
        <v>0.3</v>
      </c>
      <c r="T21" s="24">
        <f>(Tabla13[[#This Row],[ICLC]]+(1-Tabla13[[#This Row],[ICC]]))/2</f>
        <v>0.51615873015873015</v>
      </c>
      <c r="U21" t="str">
        <f>IF(Tabla13[[#This Row],[Valor general2]]&lt; $T$50, "Bajo", IF(Tabla13[[#This Row],[Valor general2]]&lt; $T$52, "Medio", "Alto"))</f>
        <v>Alto</v>
      </c>
      <c r="V21">
        <v>1</v>
      </c>
      <c r="W21" t="str">
        <f>IF(Tabla13[[#This Row],[INN]]&lt; $V$50, "Bajo", IF(Tabla13[[#This Row],[INN]]&lt; $V$52, "Medio", "Alto"))</f>
        <v>Alto</v>
      </c>
      <c r="X21" s="17">
        <f>Tabla13[[#This Row],[Valor general]]-Tabla13[[#This Row],[Valor general2]]-Tabla13[[#This Row],[INN]]</f>
        <v>4.222895115995116</v>
      </c>
      <c r="Y21" s="21" t="str">
        <f>IF(Tabla13[[#This Row],[Valor general de PC]]&lt; $X$50, "Alto", IF(Tabla13[[#This Row],[Valor general de PC]]&lt; $X$52, "Medio", "Bajo"))</f>
        <v>Alto</v>
      </c>
    </row>
    <row r="22" spans="1:25">
      <c r="A22" s="2">
        <v>2024114502</v>
      </c>
      <c r="B22" t="s">
        <v>27</v>
      </c>
      <c r="C22" s="3"/>
      <c r="D22">
        <v>26</v>
      </c>
      <c r="E22">
        <v>1</v>
      </c>
      <c r="F22">
        <v>2</v>
      </c>
      <c r="G22">
        <v>0</v>
      </c>
      <c r="H22">
        <f>2/Tabla13[[#This Row],[LoCode]]</f>
        <v>7.6923076923076927E-2</v>
      </c>
      <c r="I22">
        <f>Tabla13[[#This Row],[ERL]]+Tabla13[[#This Row],[IRL]]</f>
        <v>7.6923076923076927E-2</v>
      </c>
      <c r="J22">
        <v>2</v>
      </c>
      <c r="K22">
        <f>Tabla13[[#This Row],[LoCode]]/Tabla13[[#This Row],[NoFunctions]]</f>
        <v>13</v>
      </c>
      <c r="L22">
        <v>0.18179999999999999</v>
      </c>
      <c r="M22" cm="1">
        <f t="array" ref="M22">SUM(Tabla13[[#This Row],[CC]:[IDC]] - Tabla13[[#This Row],[IRC]])</f>
        <v>14.951030769230769</v>
      </c>
      <c r="N22" s="21" t="str">
        <f>IF(Tabla13[[#This Row],[Valor general]]&lt; $D$50, "Alto", IF(Tabla13[[#This Row],[Valor general]]&lt; $D$52, "Medio", "Bajo"))</f>
        <v>Bajo</v>
      </c>
      <c r="O22">
        <f>1-((Tabla13[[#This Row],[TPFM]]-$K$51) / ($K$50-$K$51))</f>
        <v>-4.7619047619047672E-2</v>
      </c>
      <c r="P22" s="17">
        <v>0.02</v>
      </c>
      <c r="Q22">
        <v>4.4999999999999998E-2</v>
      </c>
      <c r="R22" s="17">
        <f>SUM(Tabla13[[#This Row],[IPTFM]:[Comentarios2]])/3</f>
        <v>5.7936507936507753E-3</v>
      </c>
      <c r="S22">
        <f>Tabla13[[#This Row],[CC]]/$S$48</f>
        <v>0.2</v>
      </c>
      <c r="T22" s="24">
        <f>(Tabla13[[#This Row],[ICLC]]+(1-Tabla13[[#This Row],[ICC]]))/2</f>
        <v>0.40289682539682542</v>
      </c>
      <c r="U22" t="str">
        <f>IF(Tabla13[[#This Row],[Valor general2]]&lt; $T$50, "Bajo", IF(Tabla13[[#This Row],[Valor general2]]&lt; $T$52, "Medio", "Alto"))</f>
        <v>Medio</v>
      </c>
      <c r="V22">
        <v>1</v>
      </c>
      <c r="W22" t="str">
        <f>IF(Tabla13[[#This Row],[INN]]&lt; $V$50, "Bajo", IF(Tabla13[[#This Row],[INN]]&lt; $V$52, "Medio", "Alto"))</f>
        <v>Alto</v>
      </c>
      <c r="X22" s="17">
        <f>Tabla13[[#This Row],[Valor general]]-Tabla13[[#This Row],[Valor general2]]-Tabla13[[#This Row],[INN]]</f>
        <v>13.548133943833944</v>
      </c>
      <c r="Y22" s="21" t="str">
        <f>IF(Tabla13[[#This Row],[Valor general de PC]]&lt; $X$50, "Alto", IF(Tabla13[[#This Row],[Valor general de PC]]&lt; $X$52, "Medio", "Bajo"))</f>
        <v>Bajo</v>
      </c>
    </row>
    <row r="23" spans="1:25" ht="15.95">
      <c r="A23" s="2">
        <v>2024132538</v>
      </c>
      <c r="B23" t="s">
        <v>25</v>
      </c>
      <c r="C23" s="3" t="s">
        <v>26</v>
      </c>
      <c r="D23">
        <v>11</v>
      </c>
      <c r="E23">
        <v>0</v>
      </c>
      <c r="F23">
        <v>1</v>
      </c>
      <c r="G23">
        <v>0</v>
      </c>
      <c r="H23">
        <v>0</v>
      </c>
      <c r="I23">
        <f>Tabla13[[#This Row],[ERL]]+Tabla13[[#This Row],[IRL]]</f>
        <v>0</v>
      </c>
      <c r="J23">
        <v>2</v>
      </c>
      <c r="K23">
        <f>Tabla13[[#This Row],[LoCode]]/Tabla13[[#This Row],[NoFunctions]]</f>
        <v>11</v>
      </c>
      <c r="L23">
        <v>0</v>
      </c>
      <c r="M23" cm="1">
        <f t="array" ref="M23">SUM(Tabla13[[#This Row],[CC]:[IDC]] - Tabla13[[#This Row],[IRC]])</f>
        <v>13</v>
      </c>
      <c r="N23" s="21" t="str">
        <f>IF(Tabla13[[#This Row],[Valor general]]&lt; $D$50, "Alto", IF(Tabla13[[#This Row],[Valor general]]&lt; $D$52, "Medio", "Bajo"))</f>
        <v>Bajo</v>
      </c>
      <c r="O23">
        <f>1-((Tabla13[[#This Row],[TPFM]]-$K$51) / ($K$50-$K$51))</f>
        <v>0.1428571428571429</v>
      </c>
      <c r="P23" s="17">
        <v>0.05</v>
      </c>
      <c r="Q23">
        <v>0</v>
      </c>
      <c r="R23" s="17">
        <f>SUM(Tabla13[[#This Row],[IPTFM]:[Comentarios2]])/3</f>
        <v>6.4285714285714293E-2</v>
      </c>
      <c r="S23">
        <f>Tabla13[[#This Row],[CC]]/$S$48</f>
        <v>0.2</v>
      </c>
      <c r="T23" s="24">
        <f>(Tabla13[[#This Row],[ICLC]]+(1-Tabla13[[#This Row],[ICC]]))/2</f>
        <v>0.43214285714285716</v>
      </c>
      <c r="U23" t="str">
        <f>IF(Tabla13[[#This Row],[Valor general2]]&lt; $T$50, "Bajo", IF(Tabla13[[#This Row],[Valor general2]]&lt; $T$52, "Medio", "Alto"))</f>
        <v>Medio</v>
      </c>
      <c r="V23">
        <v>1</v>
      </c>
      <c r="W23" t="str">
        <f>IF(Tabla13[[#This Row],[INN]]&lt; $V$50, "Bajo", IF(Tabla13[[#This Row],[INN]]&lt; $V$52, "Medio", "Alto"))</f>
        <v>Alto</v>
      </c>
      <c r="X23" s="17">
        <f>Tabla13[[#This Row],[Valor general]]-Tabla13[[#This Row],[Valor general2]]-Tabla13[[#This Row],[INN]]</f>
        <v>11.567857142857143</v>
      </c>
      <c r="Y23" s="21" t="str">
        <f>IF(Tabla13[[#This Row],[Valor general de PC]]&lt; $X$50, "Alto", IF(Tabla13[[#This Row],[Valor general de PC]]&lt; $X$52, "Medio", "Bajo"))</f>
        <v>Medio</v>
      </c>
    </row>
    <row r="24" spans="1:25">
      <c r="A24" s="2">
        <v>2024136072</v>
      </c>
      <c r="B24" t="s">
        <v>27</v>
      </c>
      <c r="D24">
        <v>4</v>
      </c>
      <c r="E24">
        <v>0</v>
      </c>
      <c r="F24">
        <v>2</v>
      </c>
      <c r="G24">
        <v>0</v>
      </c>
      <c r="H24">
        <v>0</v>
      </c>
      <c r="I24">
        <f>Tabla13[[#This Row],[ERL]]+Tabla13[[#This Row],[IRL]]</f>
        <v>0</v>
      </c>
      <c r="J24">
        <v>3.5</v>
      </c>
      <c r="K24">
        <f>Tabla13[[#This Row],[LoCode]]/Tabla13[[#This Row],[NoFunctions]]</f>
        <v>2</v>
      </c>
      <c r="L24">
        <v>0.44440000000000002</v>
      </c>
      <c r="M24" cm="1">
        <f t="array" ref="M24">SUM(Tabla13[[#This Row],[CC]:[IDC]] - Tabla13[[#This Row],[IRC]])</f>
        <v>5.9443999999999999</v>
      </c>
      <c r="N24" s="21" t="str">
        <f>IF(Tabla13[[#This Row],[Valor general]]&lt; $D$50, "Alto", IF(Tabla13[[#This Row],[Valor general]]&lt; $D$52, "Medio", "Bajo"))</f>
        <v>Alto</v>
      </c>
      <c r="O24">
        <f>1-((Tabla13[[#This Row],[TPFM]]-$K$51) / ($K$50-$K$51))</f>
        <v>1</v>
      </c>
      <c r="P24" s="17">
        <v>0.02</v>
      </c>
      <c r="Q24">
        <v>0.04</v>
      </c>
      <c r="R24" s="17">
        <f>SUM(Tabla13[[#This Row],[IPTFM]:[Comentarios2]])/3</f>
        <v>0.35333333333333333</v>
      </c>
      <c r="S24">
        <f>Tabla13[[#This Row],[CC]]/$S$48</f>
        <v>0.35</v>
      </c>
      <c r="T24" s="24">
        <f>(Tabla13[[#This Row],[ICLC]]+(1-Tabla13[[#This Row],[ICC]]))/2</f>
        <v>0.50166666666666671</v>
      </c>
      <c r="U24" t="str">
        <f>IF(Tabla13[[#This Row],[Valor general2]]&lt; $T$50, "Bajo", IF(Tabla13[[#This Row],[Valor general2]]&lt; $T$52, "Medio", "Alto"))</f>
        <v>Medio</v>
      </c>
      <c r="V24">
        <v>1</v>
      </c>
      <c r="W24" t="str">
        <f>IF(Tabla13[[#This Row],[INN]]&lt; $V$50, "Bajo", IF(Tabla13[[#This Row],[INN]]&lt; $V$52, "Medio", "Alto"))</f>
        <v>Alto</v>
      </c>
      <c r="X24" s="17">
        <f>Tabla13[[#This Row],[Valor general]]-Tabla13[[#This Row],[Valor general2]]-Tabla13[[#This Row],[INN]]</f>
        <v>4.442733333333333</v>
      </c>
      <c r="Y24" s="21" t="str">
        <f>IF(Tabla13[[#This Row],[Valor general de PC]]&lt; $X$50, "Alto", IF(Tabla13[[#This Row],[Valor general de PC]]&lt; $X$52, "Medio", "Bajo"))</f>
        <v>Alto</v>
      </c>
    </row>
    <row r="25" spans="1:25">
      <c r="A25" s="2">
        <v>2024138712</v>
      </c>
      <c r="B25" t="s">
        <v>27</v>
      </c>
      <c r="C25" t="s">
        <v>28</v>
      </c>
      <c r="D25">
        <v>9</v>
      </c>
      <c r="E25">
        <v>0</v>
      </c>
      <c r="F25">
        <v>1</v>
      </c>
      <c r="G25">
        <v>0</v>
      </c>
      <c r="H25">
        <v>0</v>
      </c>
      <c r="I25">
        <f>Tabla13[[#This Row],[ERL]]+Tabla13[[#This Row],[IRL]]</f>
        <v>0</v>
      </c>
      <c r="J25">
        <v>3</v>
      </c>
      <c r="K25">
        <f>Tabla13[[#This Row],[LoCode]]/Tabla13[[#This Row],[NoFunctions]]</f>
        <v>9</v>
      </c>
      <c r="L25">
        <v>0.2</v>
      </c>
      <c r="M25" cm="1">
        <f t="array" ref="M25">SUM(Tabla13[[#This Row],[CC]:[IDC]] - Tabla13[[#This Row],[IRC]])</f>
        <v>12.2</v>
      </c>
      <c r="N25" s="21" t="str">
        <f>IF(Tabla13[[#This Row],[Valor general]]&lt; $D$50, "Alto", IF(Tabla13[[#This Row],[Valor general]]&lt; $D$52, "Medio", "Bajo"))</f>
        <v>Medio</v>
      </c>
      <c r="O25">
        <f>1-((Tabla13[[#This Row],[TPFM]]-$K$51) / ($K$50-$K$51))</f>
        <v>0.33333333333333337</v>
      </c>
      <c r="P25" s="17">
        <v>0.05</v>
      </c>
      <c r="Q25">
        <v>0</v>
      </c>
      <c r="R25" s="17">
        <f>SUM(Tabla13[[#This Row],[IPTFM]:[Comentarios2]])/3</f>
        <v>0.1277777777777778</v>
      </c>
      <c r="S25">
        <f>Tabla13[[#This Row],[CC]]/$S$48</f>
        <v>0.3</v>
      </c>
      <c r="T25" s="24">
        <f>(Tabla13[[#This Row],[ICLC]]+(1-Tabla13[[#This Row],[ICC]]))/2</f>
        <v>0.41388888888888886</v>
      </c>
      <c r="U25" t="str">
        <f>IF(Tabla13[[#This Row],[Valor general2]]&lt; $T$50, "Bajo", IF(Tabla13[[#This Row],[Valor general2]]&lt; $T$52, "Medio", "Alto"))</f>
        <v>Medio</v>
      </c>
      <c r="V25">
        <v>1</v>
      </c>
      <c r="W25" t="str">
        <f>IF(Tabla13[[#This Row],[INN]]&lt; $V$50, "Bajo", IF(Tabla13[[#This Row],[INN]]&lt; $V$52, "Medio", "Alto"))</f>
        <v>Alto</v>
      </c>
      <c r="X25" s="17">
        <f>Tabla13[[#This Row],[Valor general]]-Tabla13[[#This Row],[Valor general2]]-Tabla13[[#This Row],[INN]]</f>
        <v>10.78611111111111</v>
      </c>
      <c r="Y25" s="21" t="str">
        <f>IF(Tabla13[[#This Row],[Valor general de PC]]&lt; $X$50, "Alto", IF(Tabla13[[#This Row],[Valor general de PC]]&lt; $X$52, "Medio", "Bajo"))</f>
        <v>Medio</v>
      </c>
    </row>
    <row r="26" spans="1:25" ht="15.95">
      <c r="A26" s="2">
        <v>2024140841</v>
      </c>
      <c r="B26" t="s">
        <v>27</v>
      </c>
      <c r="C26" s="3" t="s">
        <v>35</v>
      </c>
      <c r="D26">
        <v>5</v>
      </c>
      <c r="E26">
        <v>19</v>
      </c>
      <c r="F26">
        <v>4</v>
      </c>
      <c r="G26">
        <v>0</v>
      </c>
      <c r="H26">
        <f>4/Tabla13[[#This Row],[LoCode]]</f>
        <v>0.8</v>
      </c>
      <c r="I26">
        <f>Tabla13[[#This Row],[ERL]]+Tabla13[[#This Row],[IRL]]</f>
        <v>0.8</v>
      </c>
      <c r="J26">
        <v>3</v>
      </c>
      <c r="K26">
        <f>Tabla13[[#This Row],[LoCode]]/Tabla13[[#This Row],[NoFunctions]]</f>
        <v>1.25</v>
      </c>
      <c r="L26">
        <v>0.65380000000000005</v>
      </c>
      <c r="M26" cm="1">
        <f t="array" ref="M26">SUM(Tabla13[[#This Row],[CC]:[IDC]] - Tabla13[[#This Row],[IRC]])</f>
        <v>2.5038000000000005</v>
      </c>
      <c r="N26" s="21" t="str">
        <f>IF(Tabla13[[#This Row],[Valor general]]&lt; $D$50, "Alto", IF(Tabla13[[#This Row],[Valor general]]&lt; $D$52, "Medio", "Bajo"))</f>
        <v>Alto</v>
      </c>
      <c r="O26">
        <f>1-((Tabla13[[#This Row],[TPFM]]-$K$51) / ($K$50-$K$51))</f>
        <v>1.0714285714285714</v>
      </c>
      <c r="P26" s="17">
        <v>0.09</v>
      </c>
      <c r="Q26">
        <v>0.1</v>
      </c>
      <c r="R26" s="17">
        <f>SUM(Tabla13[[#This Row],[IPTFM]:[Comentarios2]])/3</f>
        <v>0.4204761904761905</v>
      </c>
      <c r="S26">
        <f>Tabla13[[#This Row],[CC]]/$S$48</f>
        <v>0.3</v>
      </c>
      <c r="T26" s="24">
        <f>(Tabla13[[#This Row],[ICLC]]+(1-Tabla13[[#This Row],[ICC]]))/2</f>
        <v>0.5602380952380952</v>
      </c>
      <c r="U26" t="str">
        <f>IF(Tabla13[[#This Row],[Valor general2]]&lt; $T$50, "Bajo", IF(Tabla13[[#This Row],[Valor general2]]&lt; $T$52, "Medio", "Alto"))</f>
        <v>Alto</v>
      </c>
      <c r="V26">
        <v>1</v>
      </c>
      <c r="W26" t="str">
        <f>IF(Tabla13[[#This Row],[INN]]&lt; $V$50, "Bajo", IF(Tabla13[[#This Row],[INN]]&lt; $V$52, "Medio", "Alto"))</f>
        <v>Alto</v>
      </c>
      <c r="X26" s="17">
        <f>Tabla13[[#This Row],[Valor general]]-Tabla13[[#This Row],[Valor general2]]-Tabla13[[#This Row],[INN]]</f>
        <v>0.94356190476190527</v>
      </c>
      <c r="Y26" s="21" t="str">
        <f>IF(Tabla13[[#This Row],[Valor general de PC]]&lt; $X$50, "Alto", IF(Tabla13[[#This Row],[Valor general de PC]]&lt; $X$52, "Medio", "Bajo"))</f>
        <v>Alto</v>
      </c>
    </row>
    <row r="27" spans="1:25" s="47" customFormat="1" ht="15.95">
      <c r="A27" s="46">
        <v>2024145117</v>
      </c>
      <c r="B27" s="47" t="s">
        <v>29</v>
      </c>
      <c r="C27" s="49" t="s">
        <v>31</v>
      </c>
      <c r="D27" s="47">
        <v>50</v>
      </c>
      <c r="E27" s="47">
        <v>3</v>
      </c>
      <c r="F27" s="47">
        <v>4</v>
      </c>
      <c r="G27" s="47">
        <v>0</v>
      </c>
      <c r="H27" s="48">
        <f>3/Tabla13[[#This Row],[LoCode]]</f>
        <v>0.06</v>
      </c>
      <c r="I27" s="48">
        <f>Tabla13[[#This Row],[ERL]]+Tabla13[[#This Row],[IRL]]</f>
        <v>0.06</v>
      </c>
      <c r="J27" s="47">
        <v>3</v>
      </c>
      <c r="K27" s="47">
        <f>Tabla13[[#This Row],[LoCode]]/Tabla13[[#This Row],[NoFunctions]]</f>
        <v>12.5</v>
      </c>
      <c r="L27" s="48">
        <v>0.38</v>
      </c>
      <c r="M27" s="48" cm="1">
        <f t="array" ref="M27">SUM(Tabla13[[#This Row],[CC]:[IDC]] - Tabla13[[#This Row],[IRC]])</f>
        <v>15.7</v>
      </c>
      <c r="N27" s="47" t="str">
        <f>IF(Tabla13[[#This Row],[Valor general]]&lt; $D$50, "Alto", IF(Tabla13[[#This Row],[Valor general]]&lt; $D$52, "Medio", "Bajo"))</f>
        <v>Bajo</v>
      </c>
      <c r="O27" s="47">
        <f>1-((Tabla13[[#This Row],[TPFM]]-$K$51) / ($K$50-$K$51))</f>
        <v>0</v>
      </c>
      <c r="P27" s="48">
        <v>6.5000000000000002E-2</v>
      </c>
      <c r="Q27" s="48">
        <v>0.06</v>
      </c>
      <c r="R27" s="48">
        <f>SUM(Tabla13[[#This Row],[IPTFM]:[Comentarios2]])/3</f>
        <v>4.1666666666666664E-2</v>
      </c>
      <c r="S27" s="47">
        <f>Tabla13[[#This Row],[CC]]/$S$48</f>
        <v>0.3</v>
      </c>
      <c r="T27" s="48">
        <f>(Tabla13[[#This Row],[ICLC]]+(1-Tabla13[[#This Row],[ICC]]))/2</f>
        <v>0.37083333333333329</v>
      </c>
      <c r="U27" s="47" t="str">
        <f>IF(Tabla13[[#This Row],[Valor general2]]&lt; $T$50, "Bajo", IF(Tabla13[[#This Row],[Valor general2]]&lt; $T$52, "Medio", "Alto"))</f>
        <v>Bajo</v>
      </c>
      <c r="V27">
        <v>1</v>
      </c>
      <c r="W27" s="47" t="str">
        <f>IF(Tabla13[[#This Row],[INN]]&lt; $V$50, "Bajo", IF(Tabla13[[#This Row],[INN]]&lt; $V$52, "Medio", "Alto"))</f>
        <v>Alto</v>
      </c>
      <c r="X27" s="48">
        <f>Tabla13[[#This Row],[Valor general]]-Tabla13[[#This Row],[Valor general2]]-Tabla13[[#This Row],[INN]]</f>
        <v>14.329166666666666</v>
      </c>
      <c r="Y27" s="47" t="str">
        <f>IF(Tabla13[[#This Row],[Valor general de PC]]&lt; $X$50, "Alto", IF(Tabla13[[#This Row],[Valor general de PC]]&lt; $X$52, "Medio", "Bajo"))</f>
        <v>Bajo</v>
      </c>
    </row>
    <row r="28" spans="1:25">
      <c r="A28" s="2">
        <v>2024145153</v>
      </c>
      <c r="B28" t="s">
        <v>25</v>
      </c>
      <c r="C28" t="s">
        <v>26</v>
      </c>
      <c r="D28">
        <v>5</v>
      </c>
      <c r="E28">
        <v>0</v>
      </c>
      <c r="F28">
        <v>1</v>
      </c>
      <c r="G28">
        <v>0</v>
      </c>
      <c r="H28">
        <v>0</v>
      </c>
      <c r="I28" s="17">
        <f>Tabla13[[#This Row],[ERL]]+Tabla13[[#This Row],[IRL]]</f>
        <v>0</v>
      </c>
      <c r="J28">
        <v>3</v>
      </c>
      <c r="K28">
        <f>Tabla13[[#This Row],[LoCode]]/Tabla13[[#This Row],[NoFunctions]]</f>
        <v>5</v>
      </c>
      <c r="L28">
        <v>0</v>
      </c>
      <c r="M28" s="17" cm="1">
        <f t="array" ref="M28">SUM(Tabla13[[#This Row],[CC]:[IDC]] - Tabla13[[#This Row],[IRC]])</f>
        <v>8</v>
      </c>
      <c r="N28" s="21" t="str">
        <f>IF(Tabla13[[#This Row],[Valor general]]&lt; $D$50, "Alto", IF(Tabla13[[#This Row],[Valor general]]&lt; $D$52, "Medio", "Bajo"))</f>
        <v>Medio</v>
      </c>
      <c r="O28">
        <f>1-((Tabla13[[#This Row],[TPFM]]-$K$51) / ($K$50-$K$51))</f>
        <v>0.7142857142857143</v>
      </c>
      <c r="P28" s="17">
        <v>2.5000000000000001E-2</v>
      </c>
      <c r="Q28">
        <v>0</v>
      </c>
      <c r="R28" s="17">
        <f>SUM(Tabla13[[#This Row],[IPTFM]:[Comentarios2]])/3</f>
        <v>0.24642857142857144</v>
      </c>
      <c r="S28">
        <f>Tabla13[[#This Row],[CC]]/$S$48</f>
        <v>0.3</v>
      </c>
      <c r="T28" s="24">
        <f>(Tabla13[[#This Row],[ICLC]]+(1-Tabla13[[#This Row],[ICC]]))/2</f>
        <v>0.4732142857142857</v>
      </c>
      <c r="U28" t="str">
        <f>IF(Tabla13[[#This Row],[Valor general2]]&lt; $T$50, "Bajo", IF(Tabla13[[#This Row],[Valor general2]]&lt; $T$52, "Medio", "Alto"))</f>
        <v>Medio</v>
      </c>
      <c r="V28">
        <v>1</v>
      </c>
      <c r="W28" t="str">
        <f>IF(Tabla13[[#This Row],[INN]]&lt; $V$50, "Bajo", IF(Tabla13[[#This Row],[INN]]&lt; $V$52, "Medio", "Alto"))</f>
        <v>Alto</v>
      </c>
      <c r="X28" s="17">
        <f>Tabla13[[#This Row],[Valor general]]-Tabla13[[#This Row],[Valor general2]]-Tabla13[[#This Row],[INN]]</f>
        <v>6.5267857142857144</v>
      </c>
      <c r="Y28" s="21" t="str">
        <f>IF(Tabla13[[#This Row],[Valor general de PC]]&lt; $X$50, "Alto", IF(Tabla13[[#This Row],[Valor general de PC]]&lt; $X$52, "Medio", "Bajo"))</f>
        <v>Medio</v>
      </c>
    </row>
    <row r="29" spans="1:25">
      <c r="A29" s="2">
        <v>2024163735</v>
      </c>
      <c r="B29" t="s">
        <v>27</v>
      </c>
      <c r="C29" t="s">
        <v>32</v>
      </c>
      <c r="D29">
        <v>12</v>
      </c>
      <c r="E29">
        <v>5</v>
      </c>
      <c r="F29">
        <v>2</v>
      </c>
      <c r="G29">
        <v>0</v>
      </c>
      <c r="H29">
        <f>1/Tabla13[[#This Row],[LoCode]]</f>
        <v>8.3333333333333329E-2</v>
      </c>
      <c r="I29" s="17">
        <f>Tabla13[[#This Row],[ERL]]+Tabla13[[#This Row],[IRL]]</f>
        <v>8.3333333333333329E-2</v>
      </c>
      <c r="J29">
        <v>3</v>
      </c>
      <c r="K29">
        <f>Tabla13[[#This Row],[LoCode]]/Tabla13[[#This Row],[NoFunctions]]</f>
        <v>6</v>
      </c>
      <c r="L29">
        <v>0.21429999999999999</v>
      </c>
      <c r="M29" s="17" cm="1">
        <f t="array" ref="M29">SUM(Tabla13[[#This Row],[CC]:[IDC]] - Tabla13[[#This Row],[IRC]])</f>
        <v>8.9643000000000015</v>
      </c>
      <c r="N29" s="21" t="str">
        <f>IF(Tabla13[[#This Row],[Valor general]]&lt; $D$50, "Alto", IF(Tabla13[[#This Row],[Valor general]]&lt; $D$52, "Medio", "Bajo"))</f>
        <v>Medio</v>
      </c>
      <c r="O29">
        <f>1-((Tabla13[[#This Row],[TPFM]]-$K$51) / ($K$50-$K$51))</f>
        <v>0.61904761904761907</v>
      </c>
      <c r="P29" s="17">
        <v>4.8000000000000001E-2</v>
      </c>
      <c r="Q29">
        <v>0.02</v>
      </c>
      <c r="R29" s="17">
        <f>SUM(Tabla13[[#This Row],[IPTFM]:[Comentarios2]])/3</f>
        <v>0.22901587301587303</v>
      </c>
      <c r="S29">
        <f>Tabla13[[#This Row],[CC]]/$S$48</f>
        <v>0.3</v>
      </c>
      <c r="T29" s="24">
        <f>(Tabla13[[#This Row],[ICLC]]+(1-Tabla13[[#This Row],[ICC]]))/2</f>
        <v>0.46450793650793648</v>
      </c>
      <c r="U29" t="str">
        <f>IF(Tabla13[[#This Row],[Valor general2]]&lt; $T$50, "Bajo", IF(Tabla13[[#This Row],[Valor general2]]&lt; $T$52, "Medio", "Alto"))</f>
        <v>Medio</v>
      </c>
      <c r="V29">
        <v>1</v>
      </c>
      <c r="W29" t="str">
        <f>IF(Tabla13[[#This Row],[INN]]&lt; $V$50, "Bajo", IF(Tabla13[[#This Row],[INN]]&lt; $V$52, "Medio", "Alto"))</f>
        <v>Alto</v>
      </c>
      <c r="X29" s="17">
        <f>Tabla13[[#This Row],[Valor general]]-Tabla13[[#This Row],[Valor general2]]-Tabla13[[#This Row],[INN]]</f>
        <v>7.4997920634920643</v>
      </c>
      <c r="Y29" s="21" t="str">
        <f>IF(Tabla13[[#This Row],[Valor general de PC]]&lt; $X$50, "Alto", IF(Tabla13[[#This Row],[Valor general de PC]]&lt; $X$52, "Medio", "Bajo"))</f>
        <v>Medio</v>
      </c>
    </row>
    <row r="30" spans="1:25" s="47" customFormat="1">
      <c r="A30" s="46">
        <v>2024178193</v>
      </c>
      <c r="B30" s="47" t="s">
        <v>29</v>
      </c>
      <c r="C30" s="47" t="s">
        <v>37</v>
      </c>
      <c r="D30" s="47">
        <v>12</v>
      </c>
      <c r="E30" s="47">
        <v>1</v>
      </c>
      <c r="F30" s="47">
        <v>1</v>
      </c>
      <c r="G30" s="47">
        <v>0</v>
      </c>
      <c r="H30" s="48">
        <f>1/9</f>
        <v>0.1111111111111111</v>
      </c>
      <c r="I30" s="48">
        <f>Tabla13[[#This Row],[ERL]]+Tabla13[[#This Row],[IRL]]</f>
        <v>0.1111111111111111</v>
      </c>
      <c r="J30" s="47">
        <v>3</v>
      </c>
      <c r="K30" s="47">
        <f>Tabla13[[#This Row],[LoCode]]/Tabla13[[#This Row],[NoFunctions]]</f>
        <v>12</v>
      </c>
      <c r="L30" s="48">
        <v>0.255</v>
      </c>
      <c r="M30" s="48" cm="1">
        <f t="array" ref="M30">SUM(Tabla13[[#This Row],[CC]:[IDC]] - Tabla13[[#This Row],[IRC]])</f>
        <v>14.921666666666667</v>
      </c>
      <c r="N30" s="47" t="str">
        <f>IF(Tabla13[[#This Row],[Valor general]]&lt; $D$50, "Alto", IF(Tabla13[[#This Row],[Valor general]]&lt; $D$52, "Medio", "Bajo"))</f>
        <v>Bajo</v>
      </c>
      <c r="O30" s="48">
        <f>1-((Tabla13[[#This Row],[TPFM]]-$K$51) / ($K$50-$K$51))</f>
        <v>4.7619047619047672E-2</v>
      </c>
      <c r="P30" s="48">
        <v>2.4389999999999998E-2</v>
      </c>
      <c r="Q30" s="47">
        <v>0</v>
      </c>
      <c r="R30" s="48">
        <f>SUM(Tabla13[[#This Row],[IPTFM]:[Comentarios2]])/3</f>
        <v>2.4003015873015888E-2</v>
      </c>
      <c r="S30" s="47">
        <f>Tabla13[[#This Row],[CC]]/$S$48</f>
        <v>0.3</v>
      </c>
      <c r="T30" s="48">
        <f>(Tabla13[[#This Row],[ICLC]]+(1-Tabla13[[#This Row],[ICC]]))/2</f>
        <v>0.36200150793650793</v>
      </c>
      <c r="U30" s="47" t="str">
        <f>IF(Tabla13[[#This Row],[Valor general2]]&lt; $T$50, "Bajo", IF(Tabla13[[#This Row],[Valor general2]]&lt; $T$52, "Medio", "Alto"))</f>
        <v>Bajo</v>
      </c>
      <c r="V30">
        <v>1</v>
      </c>
      <c r="W30" s="47" t="str">
        <f>IF(Tabla13[[#This Row],[INN]]&lt; $V$50, "Bajo", IF(Tabla13[[#This Row],[INN]]&lt; $V$52, "Medio", "Alto"))</f>
        <v>Alto</v>
      </c>
      <c r="X30" s="48">
        <f>Tabla13[[#This Row],[Valor general]]-Tabla13[[#This Row],[Valor general2]]-Tabla13[[#This Row],[INN]]</f>
        <v>13.559665158730159</v>
      </c>
      <c r="Y30" s="47" t="str">
        <f>IF(Tabla13[[#This Row],[Valor general de PC]]&lt; $X$50, "Alto", IF(Tabla13[[#This Row],[Valor general de PC]]&lt; $X$52, "Medio", "Bajo"))</f>
        <v>Bajo</v>
      </c>
    </row>
    <row r="31" spans="1:25" s="15" customFormat="1">
      <c r="A31" s="14">
        <v>2024178653</v>
      </c>
      <c r="B31" s="15" t="s">
        <v>27</v>
      </c>
      <c r="D31" s="15">
        <v>8</v>
      </c>
      <c r="E31" s="15">
        <v>7</v>
      </c>
      <c r="F31" s="15">
        <v>1</v>
      </c>
      <c r="G31" s="15">
        <v>0</v>
      </c>
      <c r="H31" s="15">
        <v>0</v>
      </c>
      <c r="I31" s="15">
        <v>0</v>
      </c>
      <c r="J31" s="15">
        <v>3</v>
      </c>
      <c r="K31" s="15">
        <f>Tabla13[[#This Row],[LoCode]]/Tabla13[[#This Row],[NoFunctions]]</f>
        <v>8</v>
      </c>
      <c r="L31" s="23">
        <v>7.1400000000000005E-2</v>
      </c>
      <c r="M31" s="23" cm="1">
        <f t="array" ref="M31">SUM(Tabla13[[#This Row],[CC]:[IDC]] - Tabla13[[#This Row],[IRC]])</f>
        <v>11.071400000000001</v>
      </c>
      <c r="N31" s="15" t="str">
        <f>IF(Tabla13[[#This Row],[Valor general]]&lt; $D$50, "Alto", IF(Tabla13[[#This Row],[Valor general]]&lt; $D$52, "Medio", "Bajo"))</f>
        <v>Medio</v>
      </c>
      <c r="O31" s="23">
        <f>1-((Tabla13[[#This Row],[TPFM]]-$K$51) / ($K$50-$K$51))</f>
        <v>0.4285714285714286</v>
      </c>
      <c r="P31" s="23">
        <v>2.5000000000000001E-2</v>
      </c>
      <c r="Q31" s="23">
        <v>2.9850000000000002E-2</v>
      </c>
      <c r="R31" s="23">
        <f>SUM(Tabla13[[#This Row],[IPTFM]:[Comentarios2]])/3</f>
        <v>0.1611404761904762</v>
      </c>
      <c r="S31" s="15">
        <f>Tabla13[[#This Row],[CC]]/$S$48</f>
        <v>0.3</v>
      </c>
      <c r="T31" s="23">
        <f>(Tabla13[[#This Row],[ICLC]]+(1-Tabla13[[#This Row],[ICC]]))/2</f>
        <v>0.43057023809523809</v>
      </c>
      <c r="U31" s="15" t="str">
        <f>IF(Tabla13[[#This Row],[Valor general2]]&lt; $T$50, "Bajo", IF(Tabla13[[#This Row],[Valor general2]]&lt; $T$52, "Medio", "Alto"))</f>
        <v>Medio</v>
      </c>
      <c r="V31">
        <v>1</v>
      </c>
      <c r="W31" s="15" t="str">
        <f>IF(Tabla13[[#This Row],[INN]]&lt; $V$50, "Bajo", IF(Tabla13[[#This Row],[INN]]&lt; $V$52, "Medio", "Alto"))</f>
        <v>Alto</v>
      </c>
      <c r="X31" s="23">
        <f>Tabla13[[#This Row],[Valor general]]-Tabla13[[#This Row],[Valor general2]]-Tabla13[[#This Row],[INN]]</f>
        <v>9.6408297619047616</v>
      </c>
      <c r="Y31" s="15" t="str">
        <f>IF(Tabla13[[#This Row],[Valor general de PC]]&lt; $X$50, "Alto", IF(Tabla13[[#This Row],[Valor general de PC]]&lt; $X$52, "Medio", "Bajo"))</f>
        <v>Medio</v>
      </c>
    </row>
    <row r="32" spans="1:25">
      <c r="A32" s="2">
        <v>2024192981</v>
      </c>
      <c r="B32" t="s">
        <v>27</v>
      </c>
      <c r="D32">
        <v>12</v>
      </c>
      <c r="E32">
        <v>0</v>
      </c>
      <c r="F32">
        <v>2</v>
      </c>
      <c r="G32">
        <v>0</v>
      </c>
      <c r="H32">
        <f>1/Tabla13[[#This Row],[LoCode]]</f>
        <v>8.3333333333333329E-2</v>
      </c>
      <c r="I32">
        <f>Tabla13[[#This Row],[ERL]]+Tabla13[[#This Row],[IRL]]</f>
        <v>8.3333333333333329E-2</v>
      </c>
      <c r="J32">
        <v>3</v>
      </c>
      <c r="K32">
        <f>Tabla13[[#This Row],[LoCode]]/Tabla13[[#This Row],[NoFunctions]]</f>
        <v>6</v>
      </c>
      <c r="L32">
        <v>0.5</v>
      </c>
      <c r="M32" cm="1">
        <f t="array" ref="M32">SUM(Tabla13[[#This Row],[CC]:[IDC]] - Tabla13[[#This Row],[IRC]])</f>
        <v>9.25</v>
      </c>
      <c r="N32" s="15" t="str">
        <f>IF(Tabla13[[#This Row],[Valor general]]&lt; $D$50, "Alto", IF(Tabla13[[#This Row],[Valor general]]&lt; $D$52, "Medio", "Bajo"))</f>
        <v>Medio</v>
      </c>
      <c r="O32">
        <f>1-((Tabla13[[#This Row],[TPFM]]-$K$51) / ($K$50-$K$51))</f>
        <v>0.61904761904761907</v>
      </c>
      <c r="P32" s="17">
        <v>4.8000000000000001E-2</v>
      </c>
      <c r="Q32">
        <v>2.8000000000000001E-2</v>
      </c>
      <c r="R32" s="17">
        <f>SUM(Tabla13[[#This Row],[IPTFM]:[Comentarios2]])/3</f>
        <v>0.23168253968253971</v>
      </c>
      <c r="S32">
        <f>Tabla13[[#This Row],[CC]]/$S$48</f>
        <v>0.3</v>
      </c>
      <c r="T32" s="23">
        <f>(Tabla13[[#This Row],[ICLC]]+(1-Tabla13[[#This Row],[ICC]]))/2</f>
        <v>0.46584126984126983</v>
      </c>
      <c r="U32" t="str">
        <f>IF(Tabla13[[#This Row],[Valor general2]]&lt; $T$50, "Bajo", IF(Tabla13[[#This Row],[Valor general2]]&lt; $T$52, "Medio", "Alto"))</f>
        <v>Medio</v>
      </c>
      <c r="V32">
        <v>1</v>
      </c>
      <c r="W32" t="str">
        <f>IF(Tabla13[[#This Row],[INN]]&lt; $V$50, "Bajo", IF(Tabla13[[#This Row],[INN]]&lt; $V$52, "Medio", "Alto"))</f>
        <v>Alto</v>
      </c>
      <c r="X32" s="17">
        <f>Tabla13[[#This Row],[Valor general]]-Tabla13[[#This Row],[Valor general2]]-Tabla13[[#This Row],[INN]]</f>
        <v>7.7841587301587296</v>
      </c>
      <c r="Y32" s="15" t="str">
        <f>IF(Tabla13[[#This Row],[Valor general de PC]]&lt; $X$50, "Alto", IF(Tabla13[[#This Row],[Valor general de PC]]&lt; $X$52, "Medio", "Bajo"))</f>
        <v>Medio</v>
      </c>
    </row>
    <row r="33" spans="1:25">
      <c r="A33" s="2">
        <v>2024201088</v>
      </c>
      <c r="B33" t="s">
        <v>25</v>
      </c>
      <c r="C33" t="s">
        <v>34</v>
      </c>
      <c r="D33">
        <v>26</v>
      </c>
      <c r="E33">
        <v>0</v>
      </c>
      <c r="F33">
        <v>1</v>
      </c>
      <c r="G33">
        <v>0</v>
      </c>
      <c r="H33">
        <v>0</v>
      </c>
      <c r="I33">
        <f>Tabla13[[#This Row],[ERL]]+Tabla13[[#This Row],[IRL]]</f>
        <v>0</v>
      </c>
      <c r="J33">
        <v>10</v>
      </c>
      <c r="K33">
        <f>Tabla13[[#This Row],[LoCode]]/Tabla13[[#This Row],[NoFunctions]]</f>
        <v>26</v>
      </c>
      <c r="L33">
        <v>0.34620000000000001</v>
      </c>
      <c r="M33" cm="1">
        <f t="array" ref="M33">SUM(Tabla13[[#This Row],[CC]:[IDC]] - Tabla13[[#This Row],[IRC]])</f>
        <v>36.346200000000003</v>
      </c>
      <c r="N33" s="15" t="str">
        <f>IF(Tabla13[[#This Row],[Valor general]]&lt; $D$50, "Alto", IF(Tabla13[[#This Row],[Valor general]]&lt; $D$52, "Medio", "Bajo"))</f>
        <v>Bajo</v>
      </c>
      <c r="O33">
        <f>1-((Tabla13[[#This Row],[TPFM]]-$K$51) / ($K$50-$K$51))</f>
        <v>-1.2857142857142856</v>
      </c>
      <c r="P33" s="17">
        <v>2.4E-2</v>
      </c>
      <c r="Q33">
        <v>0</v>
      </c>
      <c r="R33" s="17">
        <f>SUM(Tabla13[[#This Row],[IPTFM]:[Comentarios2]])/3</f>
        <v>-0.42057142857142854</v>
      </c>
      <c r="S33">
        <f>Tabla13[[#This Row],[CC]]/$S$48</f>
        <v>1</v>
      </c>
      <c r="T33" s="23">
        <f>(Tabla13[[#This Row],[ICLC]]+(1-Tabla13[[#This Row],[ICC]]))/2</f>
        <v>-0.21028571428571427</v>
      </c>
      <c r="U33" t="str">
        <f>IF(Tabla13[[#This Row],[Valor general2]]&lt; $T$50, "Bajo", IF(Tabla13[[#This Row],[Valor general2]]&lt; $T$52, "Medio", "Alto"))</f>
        <v>Bajo</v>
      </c>
      <c r="V33">
        <v>1</v>
      </c>
      <c r="W33" t="str">
        <f>IF(Tabla13[[#This Row],[INN]]&lt; $V$50, "Bajo", IF(Tabla13[[#This Row],[INN]]&lt; $V$52, "Medio", "Alto"))</f>
        <v>Alto</v>
      </c>
      <c r="X33" s="17">
        <f>Tabla13[[#This Row],[Valor general]]-Tabla13[[#This Row],[Valor general2]]-Tabla13[[#This Row],[INN]]</f>
        <v>35.556485714285721</v>
      </c>
      <c r="Y33" s="15" t="str">
        <f>IF(Tabla13[[#This Row],[Valor general de PC]]&lt; $X$50, "Alto", IF(Tabla13[[#This Row],[Valor general de PC]]&lt; $X$52, "Medio", "Bajo"))</f>
        <v>Bajo</v>
      </c>
    </row>
    <row r="34" spans="1:25">
      <c r="A34" s="2">
        <v>2024202804</v>
      </c>
      <c r="B34" t="s">
        <v>25</v>
      </c>
      <c r="C34" t="s">
        <v>26</v>
      </c>
      <c r="D34">
        <v>7</v>
      </c>
      <c r="E34">
        <v>0</v>
      </c>
      <c r="F34">
        <v>1</v>
      </c>
      <c r="G34">
        <v>0</v>
      </c>
      <c r="H34">
        <v>0</v>
      </c>
      <c r="I34">
        <f>Tabla13[[#This Row],[ERL]]+Tabla13[[#This Row],[IRL]]</f>
        <v>0</v>
      </c>
      <c r="J34">
        <v>4</v>
      </c>
      <c r="K34">
        <f>Tabla13[[#This Row],[LoCode]]/Tabla13[[#This Row],[NoFunctions]]</f>
        <v>7</v>
      </c>
      <c r="L34">
        <v>0</v>
      </c>
      <c r="M34" cm="1">
        <f t="array" ref="M34">SUM(Tabla13[[#This Row],[CC]:[IDC]] - Tabla13[[#This Row],[IRC]])</f>
        <v>11</v>
      </c>
      <c r="N34" s="15" t="str">
        <f>IF(Tabla13[[#This Row],[Valor general]]&lt; $D$50, "Alto", IF(Tabla13[[#This Row],[Valor general]]&lt; $D$52, "Medio", "Bajo"))</f>
        <v>Medio</v>
      </c>
      <c r="O34">
        <f>1-((Tabla13[[#This Row],[TPFM]]-$K$51) / ($K$50-$K$51))</f>
        <v>0.52380952380952384</v>
      </c>
      <c r="P34" s="17">
        <v>0.05</v>
      </c>
      <c r="Q34">
        <v>0</v>
      </c>
      <c r="R34" s="17">
        <f>SUM(Tabla13[[#This Row],[IPTFM]:[Comentarios2]])/3</f>
        <v>0.19126984126984128</v>
      </c>
      <c r="S34">
        <f>Tabla13[[#This Row],[CC]]/$S$48</f>
        <v>0.4</v>
      </c>
      <c r="T34" s="23">
        <f>(Tabla13[[#This Row],[ICLC]]+(1-Tabla13[[#This Row],[ICC]]))/2</f>
        <v>0.39563492063492062</v>
      </c>
      <c r="U34" t="str">
        <f>IF(Tabla13[[#This Row],[Valor general2]]&lt; $T$50, "Bajo", IF(Tabla13[[#This Row],[Valor general2]]&lt; $T$52, "Medio", "Alto"))</f>
        <v>Medio</v>
      </c>
      <c r="V34">
        <v>1</v>
      </c>
      <c r="W34" t="str">
        <f>IF(Tabla13[[#This Row],[INN]]&lt; $V$50, "Bajo", IF(Tabla13[[#This Row],[INN]]&lt; $V$52, "Medio", "Alto"))</f>
        <v>Alto</v>
      </c>
      <c r="X34" s="17">
        <f>Tabla13[[#This Row],[Valor general]]-Tabla13[[#This Row],[Valor general2]]-Tabla13[[#This Row],[INN]]</f>
        <v>9.6043650793650794</v>
      </c>
      <c r="Y34" s="15" t="str">
        <f>IF(Tabla13[[#This Row],[Valor general de PC]]&lt; $X$50, "Alto", IF(Tabla13[[#This Row],[Valor general de PC]]&lt; $X$52, "Medio", "Bajo"))</f>
        <v>Medio</v>
      </c>
    </row>
    <row r="35" spans="1:25" ht="15.95">
      <c r="A35" s="2">
        <v>2024252331</v>
      </c>
      <c r="B35" t="s">
        <v>27</v>
      </c>
      <c r="C35" s="3" t="s">
        <v>31</v>
      </c>
      <c r="D35">
        <v>34</v>
      </c>
      <c r="E35">
        <v>7</v>
      </c>
      <c r="F35">
        <v>1</v>
      </c>
      <c r="G35">
        <v>0</v>
      </c>
      <c r="H35">
        <f>2/Tabla13[[#This Row],[LoCode]]</f>
        <v>5.8823529411764705E-2</v>
      </c>
      <c r="I35">
        <f>Tabla13[[#This Row],[ERL]]+Tabla13[[#This Row],[IRL]]</f>
        <v>5.8823529411764705E-2</v>
      </c>
      <c r="J35">
        <v>5</v>
      </c>
      <c r="K35">
        <f>Tabla13[[#This Row],[LoCode]]/Tabla13[[#This Row],[NoFunctions]]</f>
        <v>34</v>
      </c>
      <c r="L35">
        <v>0.23530000000000001</v>
      </c>
      <c r="M35" cm="1">
        <f t="array" ref="M35">SUM(Tabla13[[#This Row],[CC]:[IDC]] - Tabla13[[#This Row],[IRC]])</f>
        <v>39.058829411764698</v>
      </c>
      <c r="N35" s="15" t="str">
        <f>IF(Tabla13[[#This Row],[Valor general]]&lt; $D$50, "Alto", IF(Tabla13[[#This Row],[Valor general]]&lt; $D$52, "Medio", "Bajo"))</f>
        <v>Bajo</v>
      </c>
      <c r="O35">
        <f>1-((Tabla13[[#This Row],[TPFM]]-$K$51) / ($K$50-$K$51))</f>
        <v>-2.0476190476190474</v>
      </c>
      <c r="P35" s="17">
        <v>7.2999999999999995E-2</v>
      </c>
      <c r="Q35">
        <v>0.04</v>
      </c>
      <c r="R35" s="17">
        <f>SUM(Tabla13[[#This Row],[IPTFM]:[Comentarios2]])/3</f>
        <v>-0.64487301587301582</v>
      </c>
      <c r="S35">
        <f>Tabla13[[#This Row],[CC]]/$S$48</f>
        <v>0.5</v>
      </c>
      <c r="T35" s="23">
        <f>(Tabla13[[#This Row],[ICLC]]+(1-Tabla13[[#This Row],[ICC]]))/2</f>
        <v>-7.243650793650791E-2</v>
      </c>
      <c r="U35" t="str">
        <f>IF(Tabla13[[#This Row],[Valor general2]]&lt; $T$50, "Bajo", IF(Tabla13[[#This Row],[Valor general2]]&lt; $T$52, "Medio", "Alto"))</f>
        <v>Bajo</v>
      </c>
      <c r="V35">
        <v>1</v>
      </c>
      <c r="W35" t="str">
        <f>IF(Tabla13[[#This Row],[INN]]&lt; $V$50, "Bajo", IF(Tabla13[[#This Row],[INN]]&lt; $V$52, "Medio", "Alto"))</f>
        <v>Alto</v>
      </c>
      <c r="X35" s="17">
        <f>Tabla13[[#This Row],[Valor general]]-Tabla13[[#This Row],[Valor general2]]-Tabla13[[#This Row],[INN]]</f>
        <v>38.131265919701207</v>
      </c>
      <c r="Y35" s="15" t="str">
        <f>IF(Tabla13[[#This Row],[Valor general de PC]]&lt; $X$50, "Alto", IF(Tabla13[[#This Row],[Valor general de PC]]&lt; $X$52, "Medio", "Bajo"))</f>
        <v>Bajo</v>
      </c>
    </row>
    <row r="36" spans="1:25">
      <c r="A36" s="2">
        <v>2024253395</v>
      </c>
      <c r="B36" t="s">
        <v>27</v>
      </c>
      <c r="C36" t="s">
        <v>37</v>
      </c>
      <c r="D36">
        <v>12</v>
      </c>
      <c r="E36">
        <v>1</v>
      </c>
      <c r="F36">
        <v>1</v>
      </c>
      <c r="G36">
        <v>0</v>
      </c>
      <c r="H36">
        <f>3/Tabla13[[#This Row],[LoCode]]</f>
        <v>0.25</v>
      </c>
      <c r="I36">
        <f>Tabla13[[#This Row],[ERL]]+Tabla13[[#This Row],[IRL]]</f>
        <v>0.25</v>
      </c>
      <c r="J36">
        <v>3</v>
      </c>
      <c r="K36">
        <f>Tabla13[[#This Row],[LoCode]]/Tabla13[[#This Row],[NoFunctions]]</f>
        <v>12</v>
      </c>
      <c r="L36">
        <v>0.33300000000000002</v>
      </c>
      <c r="M36" cm="1">
        <f t="array" ref="M36">SUM(Tabla13[[#This Row],[CC]:[IDC]] - Tabla13[[#This Row],[IRC]])</f>
        <v>14.583</v>
      </c>
      <c r="N36" s="15" t="str">
        <f>IF(Tabla13[[#This Row],[Valor general]]&lt; $D$50, "Alto", IF(Tabla13[[#This Row],[Valor general]]&lt; $D$52, "Medio", "Bajo"))</f>
        <v>Bajo</v>
      </c>
      <c r="O36">
        <f>1-((Tabla13[[#This Row],[TPFM]]-$K$51) / ($K$50-$K$51))</f>
        <v>4.7619047619047672E-2</v>
      </c>
      <c r="P36" s="17">
        <v>0.02</v>
      </c>
      <c r="Q36">
        <v>0</v>
      </c>
      <c r="R36" s="17">
        <f>SUM(Tabla13[[#This Row],[IPTFM]:[Comentarios2]])/3</f>
        <v>2.2539682539682557E-2</v>
      </c>
      <c r="S36">
        <f>Tabla13[[#This Row],[CC]]/$S$48</f>
        <v>0.3</v>
      </c>
      <c r="T36" s="23">
        <f>(Tabla13[[#This Row],[ICLC]]+(1-Tabla13[[#This Row],[ICC]]))/2</f>
        <v>0.36126984126984124</v>
      </c>
      <c r="U36" t="str">
        <f>IF(Tabla13[[#This Row],[Valor general2]]&lt; $T$50, "Bajo", IF(Tabla13[[#This Row],[Valor general2]]&lt; $T$52, "Medio", "Alto"))</f>
        <v>Bajo</v>
      </c>
      <c r="V36">
        <v>1</v>
      </c>
      <c r="W36" t="str">
        <f>IF(Tabla13[[#This Row],[INN]]&lt; $V$50, "Bajo", IF(Tabla13[[#This Row],[INN]]&lt; $V$52, "Medio", "Alto"))</f>
        <v>Alto</v>
      </c>
      <c r="X36" s="17">
        <f>Tabla13[[#This Row],[Valor general]]-Tabla13[[#This Row],[Valor general2]]-Tabla13[[#This Row],[INN]]</f>
        <v>13.221730158730159</v>
      </c>
      <c r="Y36" s="15" t="str">
        <f>IF(Tabla13[[#This Row],[Valor general de PC]]&lt; $X$50, "Alto", IF(Tabla13[[#This Row],[Valor general de PC]]&lt; $X$52, "Medio", "Bajo"))</f>
        <v>Bajo</v>
      </c>
    </row>
    <row r="37" spans="1:25">
      <c r="A37" s="2">
        <v>2024253434</v>
      </c>
      <c r="B37" t="s">
        <v>27</v>
      </c>
      <c r="C37" t="s">
        <v>28</v>
      </c>
      <c r="D37">
        <v>20</v>
      </c>
      <c r="E37">
        <v>7</v>
      </c>
      <c r="F37">
        <v>1</v>
      </c>
      <c r="G37">
        <v>0</v>
      </c>
      <c r="H37">
        <f>3/Tabla13[[#This Row],[LoCode]]</f>
        <v>0.15</v>
      </c>
      <c r="I37">
        <f>Tabla13[[#This Row],[ERL]]+Tabla13[[#This Row],[IRL]]</f>
        <v>0.15</v>
      </c>
      <c r="J37">
        <v>3</v>
      </c>
      <c r="K37">
        <f>Tabla13[[#This Row],[LoCode]]/Tabla13[[#This Row],[NoFunctions]]</f>
        <v>20</v>
      </c>
      <c r="L37">
        <v>0.4</v>
      </c>
      <c r="M37" cm="1">
        <f t="array" ref="M37">SUM(Tabla13[[#This Row],[CC]:[IDC]] - Tabla13[[#This Row],[IRC]])</f>
        <v>22.950000000000003</v>
      </c>
      <c r="N37" s="15" t="str">
        <f>IF(Tabla13[[#This Row],[Valor general]]&lt; $D$50, "Alto", IF(Tabla13[[#This Row],[Valor general]]&lt; $D$52, "Medio", "Bajo"))</f>
        <v>Bajo</v>
      </c>
      <c r="O37">
        <f>1-((Tabla13[[#This Row],[TPFM]]-$K$51) / ($K$50-$K$51))</f>
        <v>-0.71428571428571419</v>
      </c>
      <c r="P37" s="17">
        <v>0.04</v>
      </c>
      <c r="Q37">
        <v>0.03</v>
      </c>
      <c r="R37" s="17">
        <f>SUM(Tabla13[[#This Row],[IPTFM]:[Comentarios2]])/3</f>
        <v>-0.21476190476190471</v>
      </c>
      <c r="S37">
        <f>Tabla13[[#This Row],[CC]]/$S$48</f>
        <v>0.3</v>
      </c>
      <c r="T37" s="23">
        <f>(Tabla13[[#This Row],[ICLC]]+(1-Tabla13[[#This Row],[ICC]]))/2</f>
        <v>0.24261904761904762</v>
      </c>
      <c r="U37" t="str">
        <f>IF(Tabla13[[#This Row],[Valor general2]]&lt; $T$50, "Bajo", IF(Tabla13[[#This Row],[Valor general2]]&lt; $T$52, "Medio", "Alto"))</f>
        <v>Bajo</v>
      </c>
      <c r="V37">
        <v>1</v>
      </c>
      <c r="W37" t="str">
        <f>IF(Tabla13[[#This Row],[INN]]&lt; $V$50, "Bajo", IF(Tabla13[[#This Row],[INN]]&lt; $V$52, "Medio", "Alto"))</f>
        <v>Alto</v>
      </c>
      <c r="X37" s="17">
        <f>Tabla13[[#This Row],[Valor general]]-Tabla13[[#This Row],[Valor general2]]-Tabla13[[#This Row],[INN]]</f>
        <v>21.707380952380955</v>
      </c>
      <c r="Y37" s="15" t="str">
        <f>IF(Tabla13[[#This Row],[Valor general de PC]]&lt; $X$50, "Alto", IF(Tabla13[[#This Row],[Valor general de PC]]&lt; $X$52, "Medio", "Bajo"))</f>
        <v>Bajo</v>
      </c>
    </row>
    <row r="38" spans="1:25">
      <c r="A38" s="2">
        <v>2024256175</v>
      </c>
      <c r="B38" t="s">
        <v>25</v>
      </c>
      <c r="C38" t="s">
        <v>26</v>
      </c>
      <c r="D38">
        <v>15</v>
      </c>
      <c r="E38">
        <v>2</v>
      </c>
      <c r="F38">
        <v>3</v>
      </c>
      <c r="G38">
        <v>0</v>
      </c>
      <c r="H38">
        <v>0</v>
      </c>
      <c r="I38">
        <f>Tabla13[[#This Row],[ERL]]+Tabla13[[#This Row],[IRL]]</f>
        <v>0</v>
      </c>
      <c r="J38">
        <v>3</v>
      </c>
      <c r="K38">
        <f>Tabla13[[#This Row],[LoCode]]/Tabla13[[#This Row],[NoFunctions]]</f>
        <v>5</v>
      </c>
      <c r="L38">
        <v>0.66669999999999996</v>
      </c>
      <c r="M38" cm="1">
        <f t="array" ref="M38">SUM(Tabla13[[#This Row],[CC]:[IDC]] - Tabla13[[#This Row],[IRC]])</f>
        <v>8.6667000000000005</v>
      </c>
      <c r="N38" s="15" t="str">
        <f>IF(Tabla13[[#This Row],[Valor general]]&lt; $D$50, "Alto", IF(Tabla13[[#This Row],[Valor general]]&lt; $D$52, "Medio", "Bajo"))</f>
        <v>Medio</v>
      </c>
      <c r="O38">
        <f>1-((Tabla13[[#This Row],[TPFM]]-$K$51) / ($K$50-$K$51))</f>
        <v>0.7142857142857143</v>
      </c>
      <c r="P38" s="17">
        <v>0.1</v>
      </c>
      <c r="Q38">
        <v>0</v>
      </c>
      <c r="R38" s="17">
        <f>SUM(Tabla13[[#This Row],[IPTFM]:[Comentarios2]])/3</f>
        <v>0.27142857142857141</v>
      </c>
      <c r="S38">
        <f>Tabla13[[#This Row],[CC]]/$S$48</f>
        <v>0.3</v>
      </c>
      <c r="T38" s="23">
        <f>(Tabla13[[#This Row],[ICLC]]+(1-Tabla13[[#This Row],[ICC]]))/2</f>
        <v>0.48571428571428565</v>
      </c>
      <c r="U38" t="str">
        <f>IF(Tabla13[[#This Row],[Valor general2]]&lt; $T$50, "Bajo", IF(Tabla13[[#This Row],[Valor general2]]&lt; $T$52, "Medio", "Alto"))</f>
        <v>Medio</v>
      </c>
      <c r="V38">
        <v>1</v>
      </c>
      <c r="W38" t="str">
        <f>IF(Tabla13[[#This Row],[INN]]&lt; $V$50, "Bajo", IF(Tabla13[[#This Row],[INN]]&lt; $V$52, "Medio", "Alto"))</f>
        <v>Alto</v>
      </c>
      <c r="X38" s="17">
        <f>Tabla13[[#This Row],[Valor general]]-Tabla13[[#This Row],[Valor general2]]-Tabla13[[#This Row],[INN]]</f>
        <v>7.1809857142857147</v>
      </c>
      <c r="Y38" s="15" t="str">
        <f>IF(Tabla13[[#This Row],[Valor general de PC]]&lt; $X$50, "Alto", IF(Tabla13[[#This Row],[Valor general de PC]]&lt; $X$52, "Medio", "Bajo"))</f>
        <v>Medio</v>
      </c>
    </row>
    <row r="39" spans="1:25" s="15" customFormat="1">
      <c r="A39" s="14">
        <v>2024256560</v>
      </c>
      <c r="B39" s="15" t="s">
        <v>27</v>
      </c>
      <c r="C39" s="15" t="s">
        <v>28</v>
      </c>
      <c r="D39" s="15">
        <v>5</v>
      </c>
      <c r="E39" s="15">
        <v>6</v>
      </c>
      <c r="F39" s="15">
        <v>1</v>
      </c>
      <c r="G39" s="15">
        <v>0</v>
      </c>
      <c r="H39" s="15">
        <v>0</v>
      </c>
      <c r="I39" s="15">
        <f>Tabla13[[#This Row],[ERL]]+Tabla13[[#This Row],[IRL]]</f>
        <v>0</v>
      </c>
      <c r="J39" s="15">
        <v>3</v>
      </c>
      <c r="K39" s="15">
        <f>Tabla13[[#This Row],[LoCode]]/Tabla13[[#This Row],[NoFunctions]]</f>
        <v>5</v>
      </c>
      <c r="L39" s="15">
        <v>0.2</v>
      </c>
      <c r="M39" s="15" cm="1">
        <f t="array" ref="M39">SUM(Tabla13[[#This Row],[CC]:[IDC]] - Tabla13[[#This Row],[IRC]])</f>
        <v>8.1999999999999993</v>
      </c>
      <c r="N39" s="15" t="str">
        <f>IF(Tabla13[[#This Row],[Valor general]]&lt; $D$50, "Alto", IF(Tabla13[[#This Row],[Valor general]]&lt; $D$52, "Medio", "Bajo"))</f>
        <v>Medio</v>
      </c>
      <c r="O39" s="23">
        <f>1-((Tabla13[[#This Row],[TPFM]]-$K$51) / ($K$50-$K$51))</f>
        <v>0.7142857142857143</v>
      </c>
      <c r="P39" s="23">
        <v>2.5000000000000001E-2</v>
      </c>
      <c r="Q39" s="23">
        <v>3.4882999999999997E-2</v>
      </c>
      <c r="R39" s="23">
        <f>SUM(Tabla13[[#This Row],[IPTFM]:[Comentarios2]])/3</f>
        <v>0.25805623809523809</v>
      </c>
      <c r="S39" s="15">
        <f>Tabla13[[#This Row],[CC]]/$S$48</f>
        <v>0.3</v>
      </c>
      <c r="T39" s="23">
        <f>(Tabla13[[#This Row],[ICLC]]+(1-Tabla13[[#This Row],[ICC]]))/2</f>
        <v>0.47902811904761899</v>
      </c>
      <c r="U39" s="15" t="str">
        <f>IF(Tabla13[[#This Row],[Valor general2]]&lt; $T$50, "Bajo", IF(Tabla13[[#This Row],[Valor general2]]&lt; $T$52, "Medio", "Alto"))</f>
        <v>Medio</v>
      </c>
      <c r="V39">
        <v>1</v>
      </c>
      <c r="W39" s="15" t="str">
        <f>IF(Tabla13[[#This Row],[INN]]&lt; $V$50, "Bajo", IF(Tabla13[[#This Row],[INN]]&lt; $V$52, "Medio", "Alto"))</f>
        <v>Alto</v>
      </c>
      <c r="X39" s="23">
        <f>Tabla13[[#This Row],[Valor general]]-Tabla13[[#This Row],[Valor general2]]-Tabla13[[#This Row],[INN]]</f>
        <v>6.72097188095238</v>
      </c>
      <c r="Y39" s="15" t="str">
        <f>IF(Tabla13[[#This Row],[Valor general de PC]]&lt; $X$50, "Alto", IF(Tabla13[[#This Row],[Valor general de PC]]&lt; $X$52, "Medio", "Bajo"))</f>
        <v>Medio</v>
      </c>
    </row>
    <row r="40" spans="1:25">
      <c r="A40" s="2">
        <v>2024256710</v>
      </c>
      <c r="B40" t="s">
        <v>27</v>
      </c>
      <c r="D40">
        <v>26</v>
      </c>
      <c r="E40">
        <v>0</v>
      </c>
      <c r="F40">
        <v>3</v>
      </c>
      <c r="G40">
        <v>0</v>
      </c>
      <c r="H40">
        <f>2/Tabla13[[#This Row],[LoCode]]</f>
        <v>7.6923076923076927E-2</v>
      </c>
      <c r="I40">
        <f>Tabla13[[#This Row],[ERL]]+Tabla13[[#This Row],[IRL]]</f>
        <v>7.6923076923076927E-2</v>
      </c>
      <c r="J40">
        <v>2.6666650000000001</v>
      </c>
      <c r="K40">
        <f>Tabla13[[#This Row],[LoCode]]/Tabla13[[#This Row],[NoFunctions]]</f>
        <v>8.6666666666666661</v>
      </c>
      <c r="L40">
        <v>0.3846</v>
      </c>
      <c r="M40" cm="1">
        <f t="array" ref="M40">SUM(Tabla13[[#This Row],[CC]:[IDC]] - Tabla13[[#This Row],[IRC]])</f>
        <v>11.487162435897435</v>
      </c>
      <c r="N40" s="15" t="str">
        <f>IF(Tabla13[[#This Row],[Valor general]]&lt; $D$50, "Alto", IF(Tabla13[[#This Row],[Valor general]]&lt; $D$52, "Medio", "Bajo"))</f>
        <v>Medio</v>
      </c>
      <c r="O40">
        <f>1-((Tabla13[[#This Row],[TPFM]]-$K$51) / ($K$50-$K$51))</f>
        <v>0.36507936507936511</v>
      </c>
      <c r="P40">
        <v>0.04</v>
      </c>
      <c r="Q40">
        <v>0</v>
      </c>
      <c r="R40">
        <f>SUM(Tabla13[[#This Row],[IPTFM]:[Comentarios2]])/3</f>
        <v>0.13502645502645502</v>
      </c>
      <c r="S40">
        <f>Tabla13[[#This Row],[CC]]/$S$48</f>
        <v>0.26666650000000003</v>
      </c>
      <c r="T40" s="17">
        <f>(Tabla13[[#This Row],[ICLC]]+(1-Tabla13[[#This Row],[ICC]]))/2</f>
        <v>0.43417997751322751</v>
      </c>
      <c r="U40" t="str">
        <f>IF(Tabla13[[#This Row],[Valor general2]]&lt; $T$50, "Bajo", IF(Tabla13[[#This Row],[Valor general2]]&lt; $T$52, "Medio", "Alto"))</f>
        <v>Medio</v>
      </c>
      <c r="V40">
        <v>1</v>
      </c>
      <c r="W40" t="str">
        <f>IF(Tabla13[[#This Row],[INN]]&lt; $V$50, "Bajo", IF(Tabla13[[#This Row],[INN]]&lt; $V$52, "Medio", "Alto"))</f>
        <v>Alto</v>
      </c>
      <c r="X40" s="17">
        <f>Tabla13[[#This Row],[Valor general]]-Tabla13[[#This Row],[Valor general2]]-Tabla13[[#This Row],[INN]]</f>
        <v>10.052982458384207</v>
      </c>
      <c r="Y40" t="str">
        <f>IF(Tabla13[[#This Row],[Valor general de PC]]&lt; $X$50, "Alto", IF(Tabla13[[#This Row],[Valor general de PC]]&lt; $X$52, "Medio", "Bajo"))</f>
        <v>Medio</v>
      </c>
    </row>
    <row r="41" spans="1:25">
      <c r="A41" s="2">
        <v>2024305867</v>
      </c>
      <c r="B41" t="s">
        <v>25</v>
      </c>
      <c r="C41" t="s">
        <v>26</v>
      </c>
      <c r="D41">
        <v>2</v>
      </c>
      <c r="E41">
        <v>5</v>
      </c>
      <c r="F41">
        <v>1</v>
      </c>
      <c r="G41">
        <v>0</v>
      </c>
      <c r="H41">
        <v>0</v>
      </c>
      <c r="I41">
        <f>Tabla13[[#This Row],[ERL]]+Tabla13[[#This Row],[IRL]]</f>
        <v>0</v>
      </c>
      <c r="J41">
        <v>1</v>
      </c>
      <c r="K41">
        <f>Tabla13[[#This Row],[LoCode]]/Tabla13[[#This Row],[NoFunctions]]</f>
        <v>2</v>
      </c>
      <c r="L41">
        <v>0</v>
      </c>
      <c r="M41" cm="1">
        <f t="array" ref="M41">SUM(Tabla13[[#This Row],[CC]:[IDC]] - Tabla13[[#This Row],[IRC]])</f>
        <v>3</v>
      </c>
      <c r="N41" s="15" t="str">
        <f>IF(Tabla13[[#This Row],[Valor general]]&lt; $D$50, "Alto", IF(Tabla13[[#This Row],[Valor general]]&lt; $D$52, "Medio", "Bajo"))</f>
        <v>Alto</v>
      </c>
      <c r="O41">
        <f>1-((Tabla13[[#This Row],[TPFM]]-$K$51) / ($K$50-$K$51))</f>
        <v>1</v>
      </c>
      <c r="P41">
        <v>0.05</v>
      </c>
      <c r="Q41">
        <v>0.05</v>
      </c>
      <c r="R41">
        <f>SUM(Tabla13[[#This Row],[IPTFM]:[Comentarios2]])/3</f>
        <v>0.3666666666666667</v>
      </c>
      <c r="S41">
        <f>Tabla13[[#This Row],[CC]]/$S$48</f>
        <v>0.1</v>
      </c>
      <c r="T41" s="17">
        <f>(Tabla13[[#This Row],[ICLC]]+(1-Tabla13[[#This Row],[ICC]]))/2</f>
        <v>0.6333333333333333</v>
      </c>
      <c r="U41" t="str">
        <f>IF(Tabla13[[#This Row],[Valor general2]]&lt; $T$50, "Bajo", IF(Tabla13[[#This Row],[Valor general2]]&lt; $T$52, "Medio", "Alto"))</f>
        <v>Alto</v>
      </c>
      <c r="V41">
        <v>1</v>
      </c>
      <c r="W41" t="str">
        <f>IF(Tabla13[[#This Row],[INN]]&lt; $V$50, "Bajo", IF(Tabla13[[#This Row],[INN]]&lt; $V$52, "Medio", "Alto"))</f>
        <v>Alto</v>
      </c>
      <c r="X41" s="17">
        <f>Tabla13[[#This Row],[Valor general]]-Tabla13[[#This Row],[Valor general2]]-Tabla13[[#This Row],[INN]]</f>
        <v>1.3666666666666667</v>
      </c>
      <c r="Y41" t="str">
        <f>IF(Tabla13[[#This Row],[Valor general de PC]]&lt; $X$50, "Alto", IF(Tabla13[[#This Row],[Valor general de PC]]&lt; $X$52, "Medio", "Bajo"))</f>
        <v>Alto</v>
      </c>
    </row>
    <row r="42" spans="1:25">
      <c r="A42" s="2">
        <v>2024800088</v>
      </c>
      <c r="B42" t="s">
        <v>27</v>
      </c>
      <c r="C42" s="3"/>
      <c r="D42">
        <v>7</v>
      </c>
      <c r="E42">
        <v>0</v>
      </c>
      <c r="F42">
        <v>1</v>
      </c>
      <c r="G42">
        <v>0</v>
      </c>
      <c r="H42">
        <v>0</v>
      </c>
      <c r="I42">
        <f>Tabla13[[#This Row],[ERL]]+Tabla13[[#This Row],[IRL]]</f>
        <v>0</v>
      </c>
      <c r="J42">
        <v>2</v>
      </c>
      <c r="K42">
        <f>Tabla13[[#This Row],[LoCode]]/Tabla13[[#This Row],[NoFunctions]]</f>
        <v>7</v>
      </c>
      <c r="L42">
        <v>0.1429</v>
      </c>
      <c r="M42" cm="1">
        <f t="array" ref="M42">SUM(Tabla13[[#This Row],[CC]:[IDC]] - Tabla13[[#This Row],[IRC]])</f>
        <v>9.1428999999999991</v>
      </c>
      <c r="N42" s="15" t="str">
        <f>IF(Tabla13[[#This Row],[Valor general]]&lt; $D$50, "Alto", IF(Tabla13[[#This Row],[Valor general]]&lt; $D$52, "Medio", "Bajo"))</f>
        <v>Medio</v>
      </c>
      <c r="O42">
        <f>1-((Tabla13[[#This Row],[TPFM]]-$K$51) / ($K$50-$K$51))</f>
        <v>0.52380952380952384</v>
      </c>
      <c r="P42">
        <v>2.5000000000000001E-2</v>
      </c>
      <c r="Q42">
        <v>0</v>
      </c>
      <c r="R42">
        <f>SUM(Tabla13[[#This Row],[IPTFM]:[Comentarios2]])/3</f>
        <v>0.18293650793650795</v>
      </c>
      <c r="S42">
        <f>Tabla13[[#This Row],[CC]]/$S$48</f>
        <v>0.2</v>
      </c>
      <c r="T42" s="17">
        <f>(Tabla13[[#This Row],[ICLC]]+(1-Tabla13[[#This Row],[ICC]]))/2</f>
        <v>0.491468253968254</v>
      </c>
      <c r="U42" t="str">
        <f>IF(Tabla13[[#This Row],[Valor general2]]&lt; $T$50, "Bajo", IF(Tabla13[[#This Row],[Valor general2]]&lt; $T$52, "Medio", "Alto"))</f>
        <v>Medio</v>
      </c>
      <c r="V42">
        <v>1</v>
      </c>
      <c r="W42" t="str">
        <f>IF(Tabla13[[#This Row],[INN]]&lt; $V$50, "Bajo", IF(Tabla13[[#This Row],[INN]]&lt; $V$52, "Medio", "Alto"))</f>
        <v>Alto</v>
      </c>
      <c r="X42" s="17">
        <f>Tabla13[[#This Row],[Valor general]]-Tabla13[[#This Row],[Valor general2]]-Tabla13[[#This Row],[INN]]</f>
        <v>7.6514317460317454</v>
      </c>
      <c r="Y42" t="str">
        <f>IF(Tabla13[[#This Row],[Valor general de PC]]&lt; $X$50, "Alto", IF(Tabla13[[#This Row],[Valor general de PC]]&lt; $X$52, "Medio", "Bajo"))</f>
        <v>Medio</v>
      </c>
    </row>
    <row r="43" spans="1:25">
      <c r="A43" s="2">
        <v>2024800128</v>
      </c>
      <c r="B43" t="s">
        <v>27</v>
      </c>
      <c r="C43" t="s">
        <v>28</v>
      </c>
      <c r="D43">
        <v>7</v>
      </c>
      <c r="E43">
        <v>8</v>
      </c>
      <c r="F43">
        <v>1</v>
      </c>
      <c r="G43">
        <v>0</v>
      </c>
      <c r="H43">
        <f>1/Tabla13[[#This Row],[LoCode]]</f>
        <v>0.14285714285714285</v>
      </c>
      <c r="I43">
        <f>Tabla13[[#This Row],[ERL]]+Tabla13[[#This Row],[IRL]]</f>
        <v>0.14285714285714285</v>
      </c>
      <c r="J43">
        <v>3</v>
      </c>
      <c r="K43">
        <f>Tabla13[[#This Row],[LoCode]]/Tabla13[[#This Row],[NoFunctions]]</f>
        <v>7</v>
      </c>
      <c r="L43">
        <v>7.6899999999999996E-2</v>
      </c>
      <c r="M43" cm="1">
        <f t="array" ref="M43">SUM(Tabla13[[#This Row],[CC]:[IDC]] - Tabla13[[#This Row],[IRC]])</f>
        <v>9.6483285714285714</v>
      </c>
      <c r="N43" s="15" t="str">
        <f>IF(Tabla13[[#This Row],[Valor general]]&lt; $D$50, "Alto", IF(Tabla13[[#This Row],[Valor general]]&lt; $D$52, "Medio", "Bajo"))</f>
        <v>Medio</v>
      </c>
      <c r="O43">
        <f>1-((Tabla13[[#This Row],[TPFM]]-$K$51) / ($K$50-$K$51))</f>
        <v>0.52380952380952384</v>
      </c>
      <c r="P43">
        <v>0.02</v>
      </c>
      <c r="Q43">
        <v>0.05</v>
      </c>
      <c r="R43">
        <f>SUM(Tabla13[[#This Row],[IPTFM]:[Comentarios2]])/3</f>
        <v>0.19793650793650797</v>
      </c>
      <c r="S43">
        <f>Tabla13[[#This Row],[CC]]/$S$48</f>
        <v>0.3</v>
      </c>
      <c r="T43" s="17">
        <f>(Tabla13[[#This Row],[ICLC]]+(1-Tabla13[[#This Row],[ICC]]))/2</f>
        <v>0.44896825396825396</v>
      </c>
      <c r="U43" t="str">
        <f>IF(Tabla13[[#This Row],[Valor general2]]&lt; $T$50, "Bajo", IF(Tabla13[[#This Row],[Valor general2]]&lt; $T$52, "Medio", "Alto"))</f>
        <v>Medio</v>
      </c>
      <c r="V43">
        <v>1</v>
      </c>
      <c r="W43" t="str">
        <f>IF(Tabla13[[#This Row],[INN]]&lt; $V$50, "Bajo", IF(Tabla13[[#This Row],[INN]]&lt; $V$52, "Medio", "Alto"))</f>
        <v>Alto</v>
      </c>
      <c r="X43" s="17">
        <f>Tabla13[[#This Row],[Valor general]]-Tabla13[[#This Row],[Valor general2]]-Tabla13[[#This Row],[INN]]</f>
        <v>8.199360317460318</v>
      </c>
      <c r="Y43" t="str">
        <f>IF(Tabla13[[#This Row],[Valor general de PC]]&lt; $X$50, "Alto", IF(Tabla13[[#This Row],[Valor general de PC]]&lt; $X$52, "Medio", "Bajo"))</f>
        <v>Medio</v>
      </c>
    </row>
    <row r="44" spans="1:25" s="13" customFormat="1">
      <c r="A44" s="12">
        <v>2024800158</v>
      </c>
      <c r="B44" s="13" t="s">
        <v>27</v>
      </c>
      <c r="C44" s="13" t="s">
        <v>28</v>
      </c>
      <c r="D44" s="13">
        <v>6</v>
      </c>
      <c r="E44" s="13">
        <v>5</v>
      </c>
      <c r="F44" s="13">
        <v>1</v>
      </c>
      <c r="G44" s="13">
        <v>0</v>
      </c>
      <c r="H44" s="13">
        <f>1/Tabla13[[#This Row],[LoCode]]</f>
        <v>0.16666666666666666</v>
      </c>
      <c r="I44" s="13">
        <f>Tabla13[[#This Row],[ERL]]+Tabla13[[#This Row],[IRL]]</f>
        <v>0.16666666666666666</v>
      </c>
      <c r="J44" s="13">
        <v>2</v>
      </c>
      <c r="K44" s="13">
        <f>Tabla13[[#This Row],[LoCode]]/Tabla13[[#This Row],[NoFunctions]]</f>
        <v>6</v>
      </c>
      <c r="L44" s="13">
        <v>0.1111</v>
      </c>
      <c r="M44" s="13" cm="1">
        <f t="array" ref="M44">SUM(Tabla13[[#This Row],[CC]:[IDC]] - Tabla13[[#This Row],[IRC]])</f>
        <v>7.6110999999999995</v>
      </c>
      <c r="N44" s="15" t="str">
        <f>IF(Tabla13[[#This Row],[Valor general]]&lt; $D$50, "Alto", IF(Tabla13[[#This Row],[Valor general]]&lt; $D$52, "Medio", "Bajo"))</f>
        <v>Alto</v>
      </c>
      <c r="O44" s="13">
        <f>1-((Tabla13[[#This Row],[TPFM]]-$K$51) / ($K$50-$K$51))</f>
        <v>0.61904761904761907</v>
      </c>
      <c r="P44" s="13">
        <v>2.5000000000000001E-2</v>
      </c>
      <c r="Q44" s="13">
        <v>0.06</v>
      </c>
      <c r="R44" s="13">
        <f>SUM(Tabla13[[#This Row],[IPTFM]:[Comentarios2]])/3</f>
        <v>0.23468253968253969</v>
      </c>
      <c r="S44" s="13">
        <f>Tabla13[[#This Row],[CC]]/$S$48</f>
        <v>0.2</v>
      </c>
      <c r="T44" s="25">
        <f>(Tabla13[[#This Row],[ICLC]]+(1-Tabla13[[#This Row],[ICC]]))/2</f>
        <v>0.51734126984126982</v>
      </c>
      <c r="U44" s="13" t="str">
        <f>IF(Tabla13[[#This Row],[Valor general2]]&lt; $T$50, "Bajo", IF(Tabla13[[#This Row],[Valor general2]]&lt; $T$52, "Medio", "Alto"))</f>
        <v>Alto</v>
      </c>
      <c r="V44">
        <v>1</v>
      </c>
      <c r="W44" s="13" t="str">
        <f>IF(Tabla13[[#This Row],[INN]]&lt; $V$50, "Bajo", IF(Tabla13[[#This Row],[INN]]&lt; $V$52, "Medio", "Alto"))</f>
        <v>Alto</v>
      </c>
      <c r="X44" s="25">
        <f>Tabla13[[#This Row],[Valor general]]-Tabla13[[#This Row],[Valor general2]]-Tabla13[[#This Row],[INN]]</f>
        <v>6.0937587301587293</v>
      </c>
      <c r="Y44" s="13" t="str">
        <f>IF(Tabla13[[#This Row],[Valor general de PC]]&lt; $X$50, "Alto", IF(Tabla13[[#This Row],[Valor general de PC]]&lt; $X$52, "Medio", "Bajo"))</f>
        <v>Alto</v>
      </c>
    </row>
    <row r="45" spans="1:25">
      <c r="A45" s="2">
        <v>2024800621</v>
      </c>
      <c r="B45" t="s">
        <v>25</v>
      </c>
      <c r="C45" t="s">
        <v>38</v>
      </c>
      <c r="D45">
        <v>20</v>
      </c>
      <c r="E45">
        <v>0</v>
      </c>
      <c r="F45">
        <v>4</v>
      </c>
      <c r="G45">
        <v>0</v>
      </c>
      <c r="H45">
        <v>0</v>
      </c>
      <c r="I45">
        <f>Tabla13[[#This Row],[ERL]]+Tabla13[[#This Row],[IRL]]</f>
        <v>0</v>
      </c>
      <c r="J45">
        <v>3</v>
      </c>
      <c r="K45">
        <f>Tabla13[[#This Row],[LoCode]]/Tabla13[[#This Row],[NoFunctions]]</f>
        <v>5</v>
      </c>
      <c r="L45">
        <v>0.4</v>
      </c>
      <c r="M45" cm="1">
        <f t="array" ref="M45">SUM(Tabla13[[#This Row],[CC]:[IDC]] - Tabla13[[#This Row],[IRC]])</f>
        <v>8.4</v>
      </c>
      <c r="N45" s="15" t="str">
        <f>IF(Tabla13[[#This Row],[Valor general]]&lt; $D$50, "Alto", IF(Tabla13[[#This Row],[Valor general]]&lt; $D$52, "Medio", "Bajo"))</f>
        <v>Medio</v>
      </c>
      <c r="O45">
        <f>1-((Tabla13[[#This Row],[TPFM]]-$K$51) / ($K$50-$K$51))</f>
        <v>0.7142857142857143</v>
      </c>
      <c r="P45">
        <v>0.128</v>
      </c>
      <c r="Q45">
        <v>0.08</v>
      </c>
      <c r="R45">
        <f>SUM(Tabla13[[#This Row],[IPTFM]:[Comentarios2]])/3</f>
        <v>0.30742857142857144</v>
      </c>
      <c r="S45">
        <f>Tabla13[[#This Row],[CC]]/$S$48</f>
        <v>0.3</v>
      </c>
      <c r="T45" s="17">
        <f>(Tabla13[[#This Row],[ICLC]]+(1-Tabla13[[#This Row],[ICC]]))/2</f>
        <v>0.50371428571428567</v>
      </c>
      <c r="U45" t="str">
        <f>IF(Tabla13[[#This Row],[Valor general2]]&lt; $T$50, "Bajo", IF(Tabla13[[#This Row],[Valor general2]]&lt; $T$52, "Medio", "Alto"))</f>
        <v>Alto</v>
      </c>
      <c r="V45">
        <v>1</v>
      </c>
      <c r="W45" t="str">
        <f>IF(Tabla13[[#This Row],[INN]]&lt; $V$50, "Bajo", IF(Tabla13[[#This Row],[INN]]&lt; $V$52, "Medio", "Alto"))</f>
        <v>Alto</v>
      </c>
      <c r="X45" s="17">
        <f>Tabla13[[#This Row],[Valor general]]-Tabla13[[#This Row],[Valor general2]]-Tabla13[[#This Row],[INN]]</f>
        <v>6.8962857142857148</v>
      </c>
      <c r="Y45" t="str">
        <f>IF(Tabla13[[#This Row],[Valor general de PC]]&lt; $X$50, "Alto", IF(Tabla13[[#This Row],[Valor general de PC]]&lt; $X$52, "Medio", "Bajo"))</f>
        <v>Medio</v>
      </c>
    </row>
    <row r="46" spans="1:25">
      <c r="A46" s="2">
        <v>2024800990</v>
      </c>
      <c r="B46" t="s">
        <v>27</v>
      </c>
      <c r="C46" s="3"/>
      <c r="D46">
        <v>4</v>
      </c>
      <c r="E46">
        <v>0</v>
      </c>
      <c r="F46">
        <v>1</v>
      </c>
      <c r="G46">
        <v>0</v>
      </c>
      <c r="H46">
        <v>0</v>
      </c>
      <c r="I46">
        <f>Tabla13[[#This Row],[ERL]]+Tabla13[[#This Row],[IRL]]</f>
        <v>0</v>
      </c>
      <c r="J46">
        <v>2</v>
      </c>
      <c r="K46">
        <f>Tabla13[[#This Row],[LoCode]]/Tabla13[[#This Row],[NoFunctions]]</f>
        <v>4</v>
      </c>
      <c r="L46">
        <v>0</v>
      </c>
      <c r="M46" cm="1">
        <f t="array" ref="M46">SUM(Tabla13[[#This Row],[CC]:[IDC]] - Tabla13[[#This Row],[IRC]])</f>
        <v>6</v>
      </c>
      <c r="N46" s="15" t="str">
        <f>IF(Tabla13[[#This Row],[Valor general]]&lt; $D$50, "Alto", IF(Tabla13[[#This Row],[Valor general]]&lt; $D$52, "Medio", "Bajo"))</f>
        <v>Alto</v>
      </c>
      <c r="O46">
        <f>1-((Tabla13[[#This Row],[TPFM]]-$K$51) / ($K$50-$K$51))</f>
        <v>0.80952380952380953</v>
      </c>
      <c r="P46">
        <v>2.5000000000000001E-2</v>
      </c>
      <c r="Q46">
        <v>0</v>
      </c>
      <c r="R46">
        <f>SUM(Tabla13[[#This Row],[IPTFM]:[Comentarios2]])/3</f>
        <v>0.27817460317460319</v>
      </c>
      <c r="S46">
        <f>Tabla13[[#This Row],[CC]]/$S$48</f>
        <v>0.2</v>
      </c>
      <c r="T46" s="17">
        <f>(Tabla13[[#This Row],[ICLC]]+(1-Tabla13[[#This Row],[ICC]]))/2</f>
        <v>0.53908730158730167</v>
      </c>
      <c r="U46" t="str">
        <f>IF(Tabla13[[#This Row],[Valor general2]]&lt; $T$50, "Bajo", IF(Tabla13[[#This Row],[Valor general2]]&lt; $T$52, "Medio", "Alto"))</f>
        <v>Alto</v>
      </c>
      <c r="V46">
        <v>1</v>
      </c>
      <c r="W46" t="str">
        <f>IF(Tabla13[[#This Row],[INN]]&lt; $V$50, "Bajo", IF(Tabla13[[#This Row],[INN]]&lt; $V$52, "Medio", "Alto"))</f>
        <v>Alto</v>
      </c>
      <c r="X46" s="17">
        <f>Tabla13[[#This Row],[Valor general]]-Tabla13[[#This Row],[Valor general2]]-Tabla13[[#This Row],[INN]]</f>
        <v>4.4609126984126988</v>
      </c>
      <c r="Y46" t="str">
        <f>IF(Tabla13[[#This Row],[Valor general de PC]]&lt; $X$50, "Alto", IF(Tabla13[[#This Row],[Valor general de PC]]&lt; $X$52, "Medio", "Bajo"))</f>
        <v>Alto</v>
      </c>
    </row>
    <row r="47" spans="1:25" s="38" customFormat="1">
      <c r="A47" s="37">
        <v>2022080602</v>
      </c>
      <c r="B47" s="38" t="s">
        <v>39</v>
      </c>
      <c r="D47" s="38">
        <v>5</v>
      </c>
      <c r="E47" s="38">
        <v>1</v>
      </c>
      <c r="F47" s="38">
        <v>1</v>
      </c>
      <c r="G47" s="38">
        <v>0</v>
      </c>
      <c r="H47" s="38">
        <v>0</v>
      </c>
      <c r="I47" s="38">
        <f>Tabla13[[#This Row],[ERL]]+Tabla13[[#This Row],[IRL]]</f>
        <v>0</v>
      </c>
      <c r="J47" s="38">
        <v>3</v>
      </c>
      <c r="K47" s="38">
        <f>Tabla13[[#This Row],[LoCode]]/Tabla13[[#This Row],[NoFunctions]]</f>
        <v>5</v>
      </c>
      <c r="L47" s="38">
        <v>0</v>
      </c>
      <c r="M47" s="38" cm="1">
        <f t="array" ref="M47">SUM(Tabla13[[#This Row],[CC]:[IDC]] - Tabla13[[#This Row],[IRC]])</f>
        <v>8</v>
      </c>
      <c r="N47" s="38" t="str">
        <f>IF(Tabla13[[#This Row],[Valor general]]&lt; $D$50, "Alto", IF(Tabla13[[#This Row],[Valor general]]&lt; $D$52, "Medio", "Bajo"))</f>
        <v>Medio</v>
      </c>
      <c r="O47" s="39">
        <f>1-((Tabla13[[#This Row],[TPFM]]-$K$51) / ($K$50-$K$51))</f>
        <v>0.7142857142857143</v>
      </c>
      <c r="P47" s="39">
        <v>5.2600000000000001E-2</v>
      </c>
      <c r="Q47" s="39">
        <v>5.3999999999999999E-2</v>
      </c>
      <c r="R47" s="39">
        <f>SUM(Tabla13[[#This Row],[IPTFM]:[Comentarios2]])/3</f>
        <v>0.27362857142857144</v>
      </c>
      <c r="S47" s="38">
        <f>Tabla13[[#This Row],[CC]]/$S$48</f>
        <v>0.3</v>
      </c>
      <c r="T47" s="39">
        <f>(Tabla13[[#This Row],[ICLC]]+(1-Tabla13[[#This Row],[ICC]]))/2</f>
        <v>0.4868142857142857</v>
      </c>
      <c r="U47" s="38" t="str">
        <f>IF(Tabla13[[#This Row],[Valor general2]]&lt; $T$50, "Bajo", IF(Tabla13[[#This Row],[Valor general2]]&lt; $T$52, "Medio", "Alto"))</f>
        <v>Medio</v>
      </c>
      <c r="V47" s="38">
        <v>1</v>
      </c>
      <c r="W47" s="38" t="str">
        <f>IF(Tabla13[[#This Row],[INN]]&lt; $V$50, "Bajo", IF(Tabla13[[#This Row],[INN]]&lt; $V$52, "Medio", "Alto"))</f>
        <v>Alto</v>
      </c>
      <c r="X47" s="39">
        <f>Tabla13[[#This Row],[Valor general]]-Tabla13[[#This Row],[Valor general2]]-Tabla13[[#This Row],[INN]]</f>
        <v>6.5131857142857141</v>
      </c>
      <c r="Y47" s="38" t="str">
        <f>IF(Tabla13[[#This Row],[Valor general de PC]]&lt; $X$50, "Alto", IF(Tabla13[[#This Row],[Valor general de PC]]&lt; $X$52, "Medio", "Bajo"))</f>
        <v>Alto</v>
      </c>
    </row>
    <row r="48" spans="1:25">
      <c r="R48" t="s">
        <v>40</v>
      </c>
      <c r="S48">
        <v>10</v>
      </c>
    </row>
    <row r="50" spans="3:24">
      <c r="C50" s="22" t="s">
        <v>41</v>
      </c>
      <c r="D50" s="17">
        <f>QUARTILE((Tabla13[Valor general]), 1)</f>
        <v>8</v>
      </c>
      <c r="J50" s="22" t="s">
        <v>42</v>
      </c>
      <c r="K50">
        <f>MAX(K3,K4,K6,K10,K27,K30,K31,K39,K47)</f>
        <v>12.5</v>
      </c>
      <c r="S50" s="26" t="s">
        <v>41</v>
      </c>
      <c r="T50" s="17">
        <f>QUARTILE((Tabla13[Valor general2]), 1)</f>
        <v>0.38051765873015875</v>
      </c>
      <c r="U50" s="26" t="s">
        <v>41</v>
      </c>
      <c r="V50" s="17">
        <f>QUARTILE((Tabla13[INN]), 1)</f>
        <v>1</v>
      </c>
      <c r="W50" s="26" t="s">
        <v>41</v>
      </c>
      <c r="X50" s="17">
        <f>QUARTILE((Tabla13[Valor general de PC]), 1)</f>
        <v>6.5155440476190476</v>
      </c>
    </row>
    <row r="51" spans="3:24">
      <c r="C51" s="22" t="s">
        <v>43</v>
      </c>
      <c r="D51" s="17">
        <f>QUARTILE((Tabla13[Valor general]), 2)</f>
        <v>9.4491642857142857</v>
      </c>
      <c r="J51" s="22" t="s">
        <v>44</v>
      </c>
      <c r="K51">
        <f>MIN(K3,K4,K6,K10,K27,K30,K31,K39,K47)</f>
        <v>2</v>
      </c>
      <c r="S51" s="26" t="s">
        <v>43</v>
      </c>
      <c r="T51" s="17">
        <f>QUARTILE((Tabla13[Valor general2]), 2)</f>
        <v>0.46355026455026449</v>
      </c>
      <c r="U51" s="26" t="s">
        <v>43</v>
      </c>
      <c r="V51" s="17">
        <f>QUARTILE((Tabla13[INN]), 2)</f>
        <v>1</v>
      </c>
      <c r="W51" s="26" t="s">
        <v>43</v>
      </c>
      <c r="X51" s="17">
        <f>QUARTILE((Tabla13[Valor general de PC]), 2)</f>
        <v>7.9917595238095238</v>
      </c>
    </row>
    <row r="52" spans="3:24">
      <c r="C52" s="22" t="s">
        <v>45</v>
      </c>
      <c r="D52" s="17">
        <f>QUARTILE((Tabla13[Valor general]), 3)</f>
        <v>12.999991666666666</v>
      </c>
      <c r="S52" s="26" t="s">
        <v>45</v>
      </c>
      <c r="T52" s="17">
        <f>QUARTILE((Tabla13[Valor general2]), 3)</f>
        <v>0.50260119047619045</v>
      </c>
      <c r="U52" s="26" t="s">
        <v>45</v>
      </c>
      <c r="V52" s="17">
        <f>QUARTILE((Tabla13[INN]), 3)</f>
        <v>1</v>
      </c>
      <c r="W52" s="26" t="s">
        <v>45</v>
      </c>
      <c r="X52" s="17">
        <f>QUARTILE((Tabla13[Valor general de PC]), 3)</f>
        <v>11.62277261904762</v>
      </c>
    </row>
    <row r="53" spans="3:24">
      <c r="C53" s="22" t="s">
        <v>46</v>
      </c>
      <c r="D53" s="17">
        <f>AVERAGE((Tabla13[Valor general]))</f>
        <v>12.082155716666557</v>
      </c>
      <c r="S53" s="26" t="s">
        <v>46</v>
      </c>
      <c r="T53" s="17">
        <f>AVERAGE((Tabla13[Valor general2]))</f>
        <v>0.40900555479641137</v>
      </c>
      <c r="U53" s="26" t="s">
        <v>46</v>
      </c>
      <c r="V53" s="17">
        <f>AVERAGE((Tabla13[INN]))</f>
        <v>1</v>
      </c>
      <c r="W53" s="26" t="s">
        <v>46</v>
      </c>
      <c r="X53" s="17">
        <f>AVERAGE((Tabla13[Valor general de PC]))</f>
        <v>10.673150161870149</v>
      </c>
    </row>
    <row r="54" spans="3:24">
      <c r="C54" s="22" t="s">
        <v>47</v>
      </c>
      <c r="D54" s="17">
        <f>STDEV((Tabla13[Valor general]))</f>
        <v>8.6042208733068488</v>
      </c>
      <c r="S54" s="26" t="s">
        <v>47</v>
      </c>
      <c r="T54" s="17">
        <f>STDEV((Tabla13[Valor general2]))</f>
        <v>0.17365770263299274</v>
      </c>
      <c r="U54" s="26" t="s">
        <v>47</v>
      </c>
      <c r="V54" s="17">
        <f>STDEV((Tabla13[INN]))</f>
        <v>0</v>
      </c>
      <c r="W54" s="26" t="s">
        <v>47</v>
      </c>
      <c r="X54" s="17">
        <f>STDEV((Tabla13[Valor general de PC]))</f>
        <v>8.7741037932706067</v>
      </c>
    </row>
    <row r="55" spans="3:24">
      <c r="C55" s="22" t="s">
        <v>48</v>
      </c>
      <c r="D55" s="17">
        <f>D54/D53</f>
        <v>0.71214285555332468</v>
      </c>
      <c r="S55" s="26" t="s">
        <v>48</v>
      </c>
      <c r="T55" s="17">
        <f>T54/T53</f>
        <v>0.42458519351756346</v>
      </c>
      <c r="U55" s="26" t="s">
        <v>48</v>
      </c>
      <c r="V55" s="17">
        <f>V54/V53</f>
        <v>0</v>
      </c>
      <c r="W55" s="26" t="s">
        <v>48</v>
      </c>
      <c r="X55" s="17">
        <f>X54/X53</f>
        <v>0.82207255217078368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opLeftCell="L1" workbookViewId="0">
      <selection activeCell="W5" sqref="W5"/>
    </sheetView>
  </sheetViews>
  <sheetFormatPr defaultColWidth="8.85546875" defaultRowHeight="15"/>
  <cols>
    <col min="1" max="1" width="18.42578125" customWidth="1"/>
    <col min="2" max="2" width="18" customWidth="1"/>
    <col min="3" max="3" width="42.28515625" customWidth="1"/>
    <col min="4" max="4" width="11" bestFit="1" customWidth="1"/>
    <col min="5" max="5" width="16.42578125" bestFit="1" customWidth="1"/>
    <col min="6" max="6" width="20.7109375" bestFit="1" customWidth="1"/>
    <col min="7" max="7" width="29.28515625" bestFit="1" customWidth="1"/>
    <col min="13" max="13" width="22.7109375" customWidth="1"/>
    <col min="14" max="14" width="23.140625" bestFit="1" customWidth="1"/>
    <col min="15" max="15" width="9.42578125" bestFit="1" customWidth="1"/>
    <col min="16" max="16" width="31.42578125" bestFit="1" customWidth="1"/>
    <col min="17" max="17" width="17.28515625" bestFit="1" customWidth="1"/>
    <col min="20" max="20" width="17.42578125" bestFit="1" customWidth="1"/>
    <col min="21" max="21" width="14.42578125" bestFit="1" customWidth="1"/>
    <col min="23" max="23" width="14.7109375" bestFit="1" customWidth="1"/>
    <col min="24" max="24" width="22.42578125" bestFit="1" customWidth="1"/>
  </cols>
  <sheetData>
    <row r="1" spans="1:25">
      <c r="G1" s="78" t="s">
        <v>49</v>
      </c>
      <c r="H1" s="78"/>
      <c r="I1" s="78"/>
      <c r="J1" s="78"/>
      <c r="K1" s="78"/>
      <c r="L1" s="78"/>
      <c r="M1" s="78"/>
      <c r="N1" s="78"/>
      <c r="O1" s="79" t="s">
        <v>50</v>
      </c>
      <c r="P1" s="79"/>
      <c r="Q1" s="79"/>
      <c r="R1" s="79"/>
      <c r="S1" s="79"/>
      <c r="T1" s="79"/>
      <c r="U1" s="79"/>
      <c r="V1" s="80" t="s">
        <v>51</v>
      </c>
      <c r="W1" s="80"/>
      <c r="X1" s="81"/>
      <c r="Y1" s="81"/>
    </row>
    <row r="2" spans="1:25">
      <c r="A2" s="1" t="s">
        <v>0</v>
      </c>
      <c r="B2" s="1" t="s">
        <v>1</v>
      </c>
      <c r="C2" s="1" t="s">
        <v>52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2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idden="1">
      <c r="A3" s="2">
        <v>2016220461</v>
      </c>
      <c r="B3" t="s">
        <v>25</v>
      </c>
      <c r="C3" t="s">
        <v>53</v>
      </c>
      <c r="H3" s="17"/>
      <c r="I3" s="17">
        <f>Tabla1[[#This Row],[ERL]]+Tabla1[[#This Row],[IRL]]</f>
        <v>0</v>
      </c>
      <c r="K3" t="e">
        <f>Tabla1[[#This Row],[LoCode]]/Tabla1[[#This Row],[NoFunctions]]</f>
        <v>#DIV/0!</v>
      </c>
      <c r="L3" s="17"/>
      <c r="M3" s="17" t="e">
        <f>SUM(Tabla1[[#This Row],[CC]:[IDC]]) - Tabla1[[#This Row],[IRC]]</f>
        <v>#DIV/0!</v>
      </c>
      <c r="N3" t="e">
        <f t="shared" ref="N3:N47" si="0">IF(M3 &lt; $G$48, "Alto", IF(M3 &lt; $G$50, "Medio", "Bajo"))</f>
        <v>#DIV/0!</v>
      </c>
      <c r="O3" s="17" t="e">
        <f>1 - ((Tabla1[[#This Row],[TPFM]]- $K$49) / ($K$48 - $K$49))</f>
        <v>#DIV/0!</v>
      </c>
      <c r="P3" s="17"/>
      <c r="Q3" s="17"/>
      <c r="R3" s="17" t="e">
        <f>SUM(Tabla1[[#This Row],[IPTFM]:[Comentarios]]) / 3</f>
        <v>#DIV/0!</v>
      </c>
      <c r="S3">
        <f>Tabla1[[#This Row],[CC]]/10</f>
        <v>0</v>
      </c>
      <c r="T3" s="17" t="e">
        <f xml:space="preserve"> (Tabla1[[#This Row],[ICLC]] + (1 - Tabla1[[#This Row],[ICC]])) / 2</f>
        <v>#DIV/0!</v>
      </c>
      <c r="U3" t="e">
        <f t="shared" ref="U3:U47" si="1">IF(T3 &lt; $P$48, "Bajo", IF(T3 &lt; $P$50, "Medio", "Alto"))</f>
        <v>#DIV/0!</v>
      </c>
      <c r="W3" t="str">
        <f t="shared" ref="W3:W47" si="2">IF(V3 &lt; $V$48, "Bajo", IF(V3 &gt;= $V$50, "Alto", "Medio"))</f>
        <v>Bajo</v>
      </c>
    </row>
    <row r="4" spans="1:25" hidden="1">
      <c r="A4" s="2">
        <v>2020184824</v>
      </c>
      <c r="B4" t="s">
        <v>25</v>
      </c>
      <c r="C4" t="s">
        <v>53</v>
      </c>
      <c r="H4" s="17"/>
      <c r="I4" s="17">
        <f>Tabla1[[#This Row],[ERL]]+Tabla1[[#This Row],[IRL]]</f>
        <v>0</v>
      </c>
      <c r="K4" t="e">
        <f>Tabla1[[#This Row],[LoCode]]/Tabla1[[#This Row],[NoFunctions]]</f>
        <v>#DIV/0!</v>
      </c>
      <c r="L4" s="17"/>
      <c r="M4" s="17" t="e">
        <f>SUM(Tabla1[[#This Row],[CC]:[IDC]]) - Tabla1[[#This Row],[IRC]]</f>
        <v>#DIV/0!</v>
      </c>
      <c r="N4" t="e">
        <f t="shared" si="0"/>
        <v>#DIV/0!</v>
      </c>
      <c r="O4" s="17" t="e">
        <f>1 - ((Tabla1[[#This Row],[TPFM]]- $K$49) / ($K$48 - $K$49))</f>
        <v>#DIV/0!</v>
      </c>
      <c r="P4" s="17"/>
      <c r="Q4" s="17"/>
      <c r="R4" s="17" t="e">
        <f>SUM(Tabla1[[#This Row],[IPTFM]:[Comentarios]]) / 3</f>
        <v>#DIV/0!</v>
      </c>
      <c r="S4">
        <f>Tabla1[[#This Row],[CC]]/10</f>
        <v>0</v>
      </c>
      <c r="T4" s="17" t="e">
        <f xml:space="preserve"> (Tabla1[[#This Row],[ICLC]] + (1 - Tabla1[[#This Row],[ICC]])) / 2</f>
        <v>#DIV/0!</v>
      </c>
      <c r="U4" t="e">
        <f t="shared" si="1"/>
        <v>#DIV/0!</v>
      </c>
      <c r="W4" t="str">
        <f t="shared" si="2"/>
        <v>Bajo</v>
      </c>
    </row>
    <row r="5" spans="1:25" s="7" customFormat="1">
      <c r="A5" s="6">
        <v>2022000033</v>
      </c>
      <c r="B5" s="7" t="s">
        <v>25</v>
      </c>
      <c r="C5" s="7" t="s">
        <v>54</v>
      </c>
      <c r="D5" s="7">
        <v>17</v>
      </c>
      <c r="E5" s="7">
        <v>1</v>
      </c>
      <c r="F5" s="7">
        <v>1</v>
      </c>
      <c r="G5" s="7">
        <v>0</v>
      </c>
      <c r="H5" s="19">
        <v>0</v>
      </c>
      <c r="I5" s="19">
        <f>Tabla1[[#This Row],[ERL]]+Tabla1[[#This Row],[IRL]]</f>
        <v>0</v>
      </c>
      <c r="J5" s="7">
        <v>6</v>
      </c>
      <c r="K5" s="7">
        <f>Tabla1[[#This Row],[LoCode]]/Tabla1[[#This Row],[NoFunctions]]</f>
        <v>17</v>
      </c>
      <c r="L5" s="19">
        <f>0.4118</f>
        <v>0.4118</v>
      </c>
      <c r="M5" s="19">
        <f>SUM(Tabla1[[#This Row],[CC]:[IDC]]) - Tabla1[[#This Row],[IRC]]</f>
        <v>23.411799999999999</v>
      </c>
      <c r="N5" s="7" t="str">
        <f>IF(M5 &lt; $G$48, "Alto", IF(M5 &lt; $G$50, "Medio", "Bajo"))</f>
        <v>Medio</v>
      </c>
      <c r="O5" s="19">
        <f>1 - ((Tabla1[[#This Row],[TPFM]]- $K$49) / ($K$48 - $K$49))</f>
        <v>0.48888888888888893</v>
      </c>
      <c r="P5" s="19">
        <v>0.1</v>
      </c>
      <c r="Q5" s="19">
        <v>0</v>
      </c>
      <c r="R5" s="19">
        <f>SUM(Tabla1[[#This Row],[IPTFM]:[Comentarios]]) / 3</f>
        <v>0.1962962962962963</v>
      </c>
      <c r="S5" s="7">
        <f>Tabla1[[#This Row],[CC]]/10</f>
        <v>0.6</v>
      </c>
      <c r="T5" s="19">
        <f xml:space="preserve"> (Tabla1[[#This Row],[ICLC]] + (1 - Tabla1[[#This Row],[ICC]])) / 2</f>
        <v>0.29814814814814816</v>
      </c>
      <c r="U5" s="7" t="str">
        <f>IF(T5 &lt; $P$48, "Bajo", IF(T5 &lt; $P$50, "Medio", "Alto"))</f>
        <v>Medio</v>
      </c>
      <c r="V5" s="7">
        <v>1</v>
      </c>
      <c r="W5" s="7" t="str">
        <f>IF(V5 &lt; $V$48, "Bajo", IF(V5 &gt;= $V$50, "Alto", "Medio"))</f>
        <v>Alto</v>
      </c>
    </row>
    <row r="6" spans="1:25" hidden="1">
      <c r="A6" s="2">
        <v>2022146515</v>
      </c>
      <c r="H6" s="17"/>
      <c r="I6" s="17">
        <f>Tabla1[[#This Row],[ERL]]+Tabla1[[#This Row],[IRL]]</f>
        <v>0</v>
      </c>
      <c r="K6" t="e">
        <f>Tabla1[[#This Row],[LoCode]]/Tabla1[[#This Row],[NoFunctions]]</f>
        <v>#DIV/0!</v>
      </c>
      <c r="L6" s="17"/>
      <c r="M6" s="17" t="e">
        <f>SUM(Tabla1[[#This Row],[CC]:[IDC]]) - Tabla1[[#This Row],[IRC]]</f>
        <v>#DIV/0!</v>
      </c>
      <c r="N6" t="e">
        <f t="shared" si="0"/>
        <v>#DIV/0!</v>
      </c>
      <c r="O6" s="17" t="e">
        <f>1 - ((Tabla1[[#This Row],[TPFM]]- $K$49) / ($K$48 - $K$49))</f>
        <v>#DIV/0!</v>
      </c>
      <c r="P6" s="17"/>
      <c r="Q6" s="17"/>
      <c r="R6" s="17" t="e">
        <f>SUM(Tabla1[[#This Row],[IPTFM]:[Comentarios]]) / 3</f>
        <v>#DIV/0!</v>
      </c>
      <c r="S6">
        <f>Tabla1[[#This Row],[CC]]/10</f>
        <v>0</v>
      </c>
      <c r="T6" s="17" t="e">
        <f xml:space="preserve"> (Tabla1[[#This Row],[ICLC]] + (1 - Tabla1[[#This Row],[ICC]])) / 2</f>
        <v>#DIV/0!</v>
      </c>
      <c r="U6" t="e">
        <f t="shared" si="1"/>
        <v>#DIV/0!</v>
      </c>
      <c r="W6" t="str">
        <f t="shared" si="2"/>
        <v>Bajo</v>
      </c>
    </row>
    <row r="7" spans="1:25" s="7" customFormat="1">
      <c r="A7" s="6">
        <v>2022163260</v>
      </c>
      <c r="B7" s="7" t="s">
        <v>25</v>
      </c>
      <c r="C7" s="7" t="s">
        <v>54</v>
      </c>
      <c r="D7" s="7">
        <v>13</v>
      </c>
      <c r="E7" s="7">
        <v>0</v>
      </c>
      <c r="F7" s="7">
        <v>1</v>
      </c>
      <c r="G7" s="7">
        <v>0</v>
      </c>
      <c r="H7" s="19">
        <v>0</v>
      </c>
      <c r="I7" s="19">
        <f>Tabla1[[#This Row],[ERL]]+Tabla1[[#This Row],[IRL]]</f>
        <v>0</v>
      </c>
      <c r="J7" s="7">
        <v>3</v>
      </c>
      <c r="K7" s="7">
        <f>Tabla1[[#This Row],[LoCode]]/Tabla1[[#This Row],[NoFunctions]]</f>
        <v>13</v>
      </c>
      <c r="L7" s="19">
        <v>0.30769999999999997</v>
      </c>
      <c r="M7" s="19">
        <f>SUM(Tabla1[[#This Row],[CC]:[IDC]]) - Tabla1[[#This Row],[IRC]]</f>
        <v>16.307700000000001</v>
      </c>
      <c r="N7" s="7" t="str">
        <f t="shared" si="0"/>
        <v>Alto</v>
      </c>
      <c r="O7" s="19">
        <f>1 - ((Tabla1[[#This Row],[TPFM]]- $K$49) / ($K$48 - $K$49))</f>
        <v>0.66666666666666674</v>
      </c>
      <c r="P7" s="19">
        <v>9.5238095238095205E-2</v>
      </c>
      <c r="Q7" s="19">
        <v>0</v>
      </c>
      <c r="R7" s="19">
        <f>SUM(Tabla1[[#This Row],[IPTFM]:[Comentarios]]) / 3</f>
        <v>0.25396825396825401</v>
      </c>
      <c r="S7" s="7">
        <f>Tabla1[[#This Row],[CC]]/10</f>
        <v>0.3</v>
      </c>
      <c r="T7" s="19">
        <f xml:space="preserve"> (Tabla1[[#This Row],[ICLC]] + (1 - Tabla1[[#This Row],[ICC]])) / 2</f>
        <v>0.47698412698412695</v>
      </c>
      <c r="U7" s="7" t="str">
        <f t="shared" si="1"/>
        <v>Alto</v>
      </c>
      <c r="V7" s="7">
        <v>1</v>
      </c>
      <c r="W7" s="7" t="str">
        <f t="shared" si="2"/>
        <v>Alto</v>
      </c>
    </row>
    <row r="8" spans="1:25" hidden="1">
      <c r="A8" s="2">
        <v>2023066681</v>
      </c>
      <c r="B8" t="s">
        <v>25</v>
      </c>
      <c r="C8" t="s">
        <v>53</v>
      </c>
      <c r="H8" s="17"/>
      <c r="I8" s="17">
        <f>Tabla1[[#This Row],[ERL]]+Tabla1[[#This Row],[IRL]]</f>
        <v>0</v>
      </c>
      <c r="K8" t="e">
        <f>Tabla1[[#This Row],[LoCode]]/Tabla1[[#This Row],[NoFunctions]]</f>
        <v>#DIV/0!</v>
      </c>
      <c r="L8" s="17"/>
      <c r="M8" s="17" t="e">
        <f>SUM(Tabla1[[#This Row],[CC]:[IDC]]) - Tabla1[[#This Row],[IRC]]</f>
        <v>#DIV/0!</v>
      </c>
      <c r="N8" t="e">
        <f t="shared" si="0"/>
        <v>#DIV/0!</v>
      </c>
      <c r="O8" s="17" t="e">
        <f>1 - ((Tabla1[[#This Row],[TPFM]]- $K$49) / ($K$48 - $K$49))</f>
        <v>#DIV/0!</v>
      </c>
      <c r="P8" s="17"/>
      <c r="Q8" s="17"/>
      <c r="R8" s="17" t="e">
        <f>SUM(Tabla1[[#This Row],[IPTFM]:[Comentarios]]) / 3</f>
        <v>#DIV/0!</v>
      </c>
      <c r="S8">
        <f>Tabla1[[#This Row],[CC]]/10</f>
        <v>0</v>
      </c>
      <c r="T8" s="17" t="e">
        <f xml:space="preserve"> (Tabla1[[#This Row],[ICLC]] + (1 - Tabla1[[#This Row],[ICC]])) / 2</f>
        <v>#DIV/0!</v>
      </c>
      <c r="U8" t="e">
        <f t="shared" si="1"/>
        <v>#DIV/0!</v>
      </c>
      <c r="W8" t="str">
        <f t="shared" si="2"/>
        <v>Bajo</v>
      </c>
    </row>
    <row r="9" spans="1:25" hidden="1">
      <c r="A9" s="2">
        <v>2023112646</v>
      </c>
      <c r="H9" s="17"/>
      <c r="I9" s="17">
        <f>Tabla1[[#This Row],[ERL]]+Tabla1[[#This Row],[IRL]]</f>
        <v>0</v>
      </c>
      <c r="K9" t="e">
        <f>Tabla1[[#This Row],[LoCode]]/Tabla1[[#This Row],[NoFunctions]]</f>
        <v>#DIV/0!</v>
      </c>
      <c r="L9" s="17"/>
      <c r="M9" s="17" t="e">
        <f>SUM(Tabla1[[#This Row],[CC]:[IDC]]) - Tabla1[[#This Row],[IRC]]</f>
        <v>#DIV/0!</v>
      </c>
      <c r="N9" t="e">
        <f t="shared" si="0"/>
        <v>#DIV/0!</v>
      </c>
      <c r="O9" s="17" t="e">
        <f>1 - ((Tabla1[[#This Row],[TPFM]]- $K$49) / ($K$48 - $K$49))</f>
        <v>#DIV/0!</v>
      </c>
      <c r="P9" s="17"/>
      <c r="Q9" s="17"/>
      <c r="R9" s="17" t="e">
        <f>SUM(Tabla1[[#This Row],[IPTFM]:[Comentarios]]) / 3</f>
        <v>#DIV/0!</v>
      </c>
      <c r="S9">
        <f>Tabla1[[#This Row],[CC]]/10</f>
        <v>0</v>
      </c>
      <c r="T9" s="17" t="e">
        <f xml:space="preserve"> (Tabla1[[#This Row],[ICLC]] + (1 - Tabla1[[#This Row],[ICC]])) / 2</f>
        <v>#DIV/0!</v>
      </c>
      <c r="U9" t="e">
        <f t="shared" si="1"/>
        <v>#DIV/0!</v>
      </c>
      <c r="W9" t="str">
        <f t="shared" si="2"/>
        <v>Bajo</v>
      </c>
    </row>
    <row r="10" spans="1:25" s="7" customFormat="1" ht="15.95">
      <c r="A10" s="6">
        <v>2023147244</v>
      </c>
      <c r="B10" s="7" t="s">
        <v>25</v>
      </c>
      <c r="C10" s="8" t="s">
        <v>26</v>
      </c>
      <c r="D10" s="7">
        <v>21</v>
      </c>
      <c r="E10" s="7">
        <v>1</v>
      </c>
      <c r="F10" s="7">
        <v>1</v>
      </c>
      <c r="G10" s="7">
        <v>0</v>
      </c>
      <c r="H10" s="19">
        <v>0</v>
      </c>
      <c r="I10" s="19">
        <f>Tabla1[[#This Row],[ERL]]+Tabla1[[#This Row],[IRL]]</f>
        <v>0</v>
      </c>
      <c r="J10" s="7">
        <v>7</v>
      </c>
      <c r="K10" s="7">
        <f>Tabla1[[#This Row],[LoCode]]/Tabla1[[#This Row],[NoFunctions]]</f>
        <v>21</v>
      </c>
      <c r="L10" s="19">
        <v>0.42859999999999998</v>
      </c>
      <c r="M10" s="19">
        <f>SUM(Tabla1[[#This Row],[CC]:[IDC]]) - Tabla1[[#This Row],[IRC]]</f>
        <v>28.428599999999999</v>
      </c>
      <c r="N10" s="7" t="str">
        <f t="shared" si="0"/>
        <v>Bajo</v>
      </c>
      <c r="O10" s="19">
        <f>1 - ((Tabla1[[#This Row],[TPFM]]- $K$49) / ($K$48 - $K$49))</f>
        <v>0.31111111111111112</v>
      </c>
      <c r="P10" s="19">
        <v>4.7619047619047603E-2</v>
      </c>
      <c r="Q10" s="19">
        <v>0</v>
      </c>
      <c r="R10" s="19">
        <f>SUM(Tabla1[[#This Row],[IPTFM]:[Comentarios]]) / 3</f>
        <v>0.11957671957671957</v>
      </c>
      <c r="S10" s="7">
        <f>Tabla1[[#This Row],[CC]]/10</f>
        <v>0.7</v>
      </c>
      <c r="T10" s="19">
        <f xml:space="preserve"> (Tabla1[[#This Row],[ICLC]] + (1 - Tabla1[[#This Row],[ICC]])) / 2</f>
        <v>0.2097883597883598</v>
      </c>
      <c r="U10" s="7" t="str">
        <f t="shared" si="1"/>
        <v>Bajo</v>
      </c>
      <c r="V10" s="7">
        <v>1</v>
      </c>
      <c r="W10" s="7" t="str">
        <f t="shared" si="2"/>
        <v>Alto</v>
      </c>
    </row>
    <row r="11" spans="1:25" hidden="1">
      <c r="A11" s="2">
        <v>2023152721</v>
      </c>
      <c r="H11" s="17"/>
      <c r="I11" s="17">
        <f>Tabla1[[#This Row],[ERL]]+Tabla1[[#This Row],[IRL]]</f>
        <v>0</v>
      </c>
      <c r="K11" t="e">
        <f>Tabla1[[#This Row],[LoCode]]/Tabla1[[#This Row],[NoFunctions]]</f>
        <v>#DIV/0!</v>
      </c>
      <c r="L11" s="17"/>
      <c r="M11" s="17" t="e">
        <f>SUM(Tabla1[[#This Row],[CC]:[IDC]]) - Tabla1[[#This Row],[IRC]]</f>
        <v>#DIV/0!</v>
      </c>
      <c r="N11" t="e">
        <f t="shared" si="0"/>
        <v>#DIV/0!</v>
      </c>
      <c r="O11" s="17" t="e">
        <f>1 - ((Tabla1[[#This Row],[TPFM]]- $K$49) / ($K$48 - $K$49))</f>
        <v>#DIV/0!</v>
      </c>
      <c r="P11" s="17"/>
      <c r="Q11" s="17"/>
      <c r="R11" s="17" t="e">
        <f>SUM(Tabla1[[#This Row],[IPTFM]:[Comentarios]]) / 3</f>
        <v>#DIV/0!</v>
      </c>
      <c r="S11">
        <f>Tabla1[[#This Row],[CC]]/10</f>
        <v>0</v>
      </c>
      <c r="T11" s="17" t="e">
        <f xml:space="preserve"> (Tabla1[[#This Row],[ICLC]] + (1 - Tabla1[[#This Row],[ICC]])) / 2</f>
        <v>#DIV/0!</v>
      </c>
      <c r="U11" t="e">
        <f t="shared" si="1"/>
        <v>#DIV/0!</v>
      </c>
      <c r="W11" t="str">
        <f t="shared" si="2"/>
        <v>Bajo</v>
      </c>
    </row>
    <row r="12" spans="1:25" hidden="1">
      <c r="A12" s="2">
        <v>2024063271</v>
      </c>
      <c r="H12" s="17"/>
      <c r="I12" s="17">
        <f>Tabla1[[#This Row],[ERL]]+Tabla1[[#This Row],[IRL]]</f>
        <v>0</v>
      </c>
      <c r="K12" t="e">
        <f>Tabla1[[#This Row],[LoCode]]/Tabla1[[#This Row],[NoFunctions]]</f>
        <v>#DIV/0!</v>
      </c>
      <c r="L12" s="17"/>
      <c r="M12" s="17" t="e">
        <f>SUM(Tabla1[[#This Row],[CC]:[IDC]]) - Tabla1[[#This Row],[IRC]]</f>
        <v>#DIV/0!</v>
      </c>
      <c r="N12" t="e">
        <f t="shared" si="0"/>
        <v>#DIV/0!</v>
      </c>
      <c r="O12" s="17" t="e">
        <f>1 - ((Tabla1[[#This Row],[TPFM]]- $K$49) / ($K$48 - $K$49))</f>
        <v>#DIV/0!</v>
      </c>
      <c r="P12" s="17"/>
      <c r="Q12" s="17"/>
      <c r="R12" s="17" t="e">
        <f>SUM(Tabla1[[#This Row],[IPTFM]:[Comentarios]]) / 3</f>
        <v>#DIV/0!</v>
      </c>
      <c r="S12">
        <f>Tabla1[[#This Row],[CC]]/10</f>
        <v>0</v>
      </c>
      <c r="T12" s="17" t="e">
        <f xml:space="preserve"> (Tabla1[[#This Row],[ICLC]] + (1 - Tabla1[[#This Row],[ICC]])) / 2</f>
        <v>#DIV/0!</v>
      </c>
      <c r="U12" t="e">
        <f t="shared" si="1"/>
        <v>#DIV/0!</v>
      </c>
      <c r="W12" t="str">
        <f t="shared" si="2"/>
        <v>Bajo</v>
      </c>
    </row>
    <row r="13" spans="1:25" s="7" customFormat="1">
      <c r="A13" s="6">
        <v>2024066829</v>
      </c>
      <c r="B13" s="7" t="s">
        <v>25</v>
      </c>
      <c r="C13" s="7" t="s">
        <v>26</v>
      </c>
      <c r="D13" s="7">
        <v>13</v>
      </c>
      <c r="E13" s="7">
        <v>1</v>
      </c>
      <c r="F13" s="7">
        <v>1</v>
      </c>
      <c r="G13" s="7">
        <v>0</v>
      </c>
      <c r="H13" s="19">
        <f>2/Tabla1[[#This Row],[LoCode]]</f>
        <v>0.15384615384615385</v>
      </c>
      <c r="I13" s="19">
        <f>Tabla1[[#This Row],[ERL]]+Tabla1[[#This Row],[IRL]]</f>
        <v>0.15384615384615385</v>
      </c>
      <c r="J13" s="7">
        <v>5</v>
      </c>
      <c r="K13" s="7">
        <f>Tabla1[[#This Row],[LoCode]]/Tabla1[[#This Row],[NoFunctions]]</f>
        <v>13</v>
      </c>
      <c r="L13" s="19">
        <v>0.23080000000000001</v>
      </c>
      <c r="M13" s="19">
        <f>SUM(Tabla1[[#This Row],[CC]:[IDC]]) - Tabla1[[#This Row],[IRC]]</f>
        <v>18.076953846153845</v>
      </c>
      <c r="N13" s="7" t="str">
        <f t="shared" si="0"/>
        <v>Alto</v>
      </c>
      <c r="O13" s="19">
        <f>1 - ((Tabla1[[#This Row],[TPFM]]- $K$49) / ($K$48 - $K$49))</f>
        <v>0.66666666666666674</v>
      </c>
      <c r="P13" s="19">
        <v>4.7619047619047603E-2</v>
      </c>
      <c r="Q13" s="19">
        <v>0</v>
      </c>
      <c r="R13" s="19">
        <f>SUM(Tabla1[[#This Row],[IPTFM]:[Comentarios]]) / 3</f>
        <v>0.23809523809523811</v>
      </c>
      <c r="S13" s="7">
        <f>Tabla1[[#This Row],[CC]]/10</f>
        <v>0.5</v>
      </c>
      <c r="T13" s="19">
        <f xml:space="preserve"> (Tabla1[[#This Row],[ICLC]] + (1 - Tabla1[[#This Row],[ICC]])) / 2</f>
        <v>0.36904761904761907</v>
      </c>
      <c r="U13" s="7" t="str">
        <f t="shared" si="1"/>
        <v>Alto</v>
      </c>
      <c r="V13" s="7">
        <v>1</v>
      </c>
      <c r="W13" s="7" t="str">
        <f t="shared" si="2"/>
        <v>Alto</v>
      </c>
    </row>
    <row r="14" spans="1:25" hidden="1">
      <c r="A14" s="2">
        <v>2024070969</v>
      </c>
      <c r="H14" s="17"/>
      <c r="I14" s="17">
        <f>Tabla1[[#This Row],[ERL]]+Tabla1[[#This Row],[IRL]]</f>
        <v>0</v>
      </c>
      <c r="K14" t="e">
        <f>Tabla1[[#This Row],[LoCode]]/Tabla1[[#This Row],[NoFunctions]]</f>
        <v>#DIV/0!</v>
      </c>
      <c r="L14" s="17"/>
      <c r="M14" s="17" t="e">
        <f>SUM(Tabla1[[#This Row],[CC]:[IDC]]) - Tabla1[[#This Row],[IRC]]</f>
        <v>#DIV/0!</v>
      </c>
      <c r="N14" t="e">
        <f t="shared" si="0"/>
        <v>#DIV/0!</v>
      </c>
      <c r="O14" s="17" t="e">
        <f>1 - ((Tabla1[[#This Row],[TPFM]]- $K$49) / ($K$48 - $K$49))</f>
        <v>#DIV/0!</v>
      </c>
      <c r="P14" s="17"/>
      <c r="Q14" s="17"/>
      <c r="R14" s="17" t="e">
        <f>SUM(Tabla1[[#This Row],[IPTFM]:[Comentarios]]) / 3</f>
        <v>#DIV/0!</v>
      </c>
      <c r="S14">
        <f>Tabla1[[#This Row],[CC]]/10</f>
        <v>0</v>
      </c>
      <c r="T14" s="17" t="e">
        <f xml:space="preserve"> (Tabla1[[#This Row],[ICLC]] + (1 - Tabla1[[#This Row],[ICC]])) / 2</f>
        <v>#DIV/0!</v>
      </c>
      <c r="U14" t="e">
        <f t="shared" si="1"/>
        <v>#DIV/0!</v>
      </c>
      <c r="W14" t="str">
        <f t="shared" si="2"/>
        <v>Bajo</v>
      </c>
    </row>
    <row r="15" spans="1:25" hidden="1">
      <c r="A15" s="2">
        <v>2024071983</v>
      </c>
      <c r="H15" s="17"/>
      <c r="I15" s="17">
        <f>Tabla1[[#This Row],[ERL]]+Tabla1[[#This Row],[IRL]]</f>
        <v>0</v>
      </c>
      <c r="K15" t="e">
        <f>Tabla1[[#This Row],[LoCode]]/Tabla1[[#This Row],[NoFunctions]]</f>
        <v>#DIV/0!</v>
      </c>
      <c r="L15" s="17"/>
      <c r="M15" s="17" t="e">
        <f>SUM(Tabla1[[#This Row],[CC]:[IDC]]) - Tabla1[[#This Row],[IRC]]</f>
        <v>#DIV/0!</v>
      </c>
      <c r="N15" t="e">
        <f t="shared" si="0"/>
        <v>#DIV/0!</v>
      </c>
      <c r="O15" s="17" t="e">
        <f>1 - ((Tabla1[[#This Row],[TPFM]]- $K$49) / ($K$48 - $K$49))</f>
        <v>#DIV/0!</v>
      </c>
      <c r="P15" s="17"/>
      <c r="Q15" s="17"/>
      <c r="R15" s="17" t="e">
        <f>SUM(Tabla1[[#This Row],[IPTFM]:[Comentarios]]) / 3</f>
        <v>#DIV/0!</v>
      </c>
      <c r="S15">
        <f>Tabla1[[#This Row],[CC]]/10</f>
        <v>0</v>
      </c>
      <c r="T15" s="17" t="e">
        <f xml:space="preserve"> (Tabla1[[#This Row],[ICLC]] + (1 - Tabla1[[#This Row],[ICC]])) / 2</f>
        <v>#DIV/0!</v>
      </c>
      <c r="U15" t="e">
        <f t="shared" si="1"/>
        <v>#DIV/0!</v>
      </c>
      <c r="W15" t="str">
        <f t="shared" si="2"/>
        <v>Bajo</v>
      </c>
    </row>
    <row r="16" spans="1:25" s="15" customFormat="1" ht="32.1">
      <c r="A16" s="14">
        <v>2024082949</v>
      </c>
      <c r="B16" s="15" t="s">
        <v>27</v>
      </c>
      <c r="C16" s="77" t="s">
        <v>55</v>
      </c>
      <c r="D16" s="15">
        <v>20</v>
      </c>
      <c r="E16" s="15">
        <v>6</v>
      </c>
      <c r="F16" s="15">
        <v>2</v>
      </c>
      <c r="G16" s="15">
        <v>0</v>
      </c>
      <c r="H16" s="23">
        <f>4/Tabla1[[#This Row],[LoCode]]</f>
        <v>0.2</v>
      </c>
      <c r="I16" s="23">
        <f>Tabla1[[#This Row],[ERL]]+Tabla1[[#This Row],[IRL]]</f>
        <v>0.2</v>
      </c>
      <c r="J16" s="15">
        <v>9</v>
      </c>
      <c r="K16" s="15">
        <f>Tabla1[[#This Row],[LoCode]]/Tabla1[[#This Row],[NoFunctions]]</f>
        <v>10</v>
      </c>
      <c r="L16" s="23">
        <v>0.15</v>
      </c>
      <c r="M16" s="23">
        <f>SUM(Tabla1[[#This Row],[CC]:[IDC]]) - Tabla1[[#This Row],[IRC]]</f>
        <v>18.95</v>
      </c>
      <c r="N16" s="15" t="str">
        <f t="shared" si="0"/>
        <v>Medio</v>
      </c>
      <c r="O16" s="23">
        <f>1 - ((Tabla1[[#This Row],[TPFM]]- $K$49) / ($K$48 - $K$49))</f>
        <v>0.8</v>
      </c>
      <c r="P16" s="23">
        <v>8.6956521739130405E-2</v>
      </c>
      <c r="Q16" s="23">
        <v>0</v>
      </c>
      <c r="R16" s="23">
        <f>SUM(Tabla1[[#This Row],[IPTFM]:[Comentarios]]) / 3</f>
        <v>0.29565217391304349</v>
      </c>
      <c r="S16" s="15">
        <f>Tabla1[[#This Row],[CC]]/10</f>
        <v>0.9</v>
      </c>
      <c r="T16" s="23">
        <f xml:space="preserve"> (Tabla1[[#This Row],[ICLC]] + (1 - Tabla1[[#This Row],[ICC]])) / 2</f>
        <v>0.19782608695652174</v>
      </c>
      <c r="U16" s="15" t="str">
        <f t="shared" si="1"/>
        <v>Bajo</v>
      </c>
      <c r="V16" s="15">
        <v>1</v>
      </c>
      <c r="W16" s="15" t="str">
        <f t="shared" si="2"/>
        <v>Alto</v>
      </c>
    </row>
    <row r="17" spans="1:23" s="7" customFormat="1">
      <c r="A17" s="6">
        <v>2024090884</v>
      </c>
      <c r="B17" s="7" t="s">
        <v>25</v>
      </c>
      <c r="C17" s="7" t="s">
        <v>26</v>
      </c>
      <c r="D17" s="7">
        <v>28</v>
      </c>
      <c r="E17" s="7">
        <v>0</v>
      </c>
      <c r="F17" s="7">
        <v>2</v>
      </c>
      <c r="G17" s="7">
        <v>0</v>
      </c>
      <c r="H17" s="19">
        <v>0</v>
      </c>
      <c r="I17" s="19">
        <f>Tabla1[[#This Row],[ERL]]+Tabla1[[#This Row],[IRL]]</f>
        <v>0</v>
      </c>
      <c r="J17" s="7">
        <v>8</v>
      </c>
      <c r="K17" s="7">
        <f>Tabla1[[#This Row],[LoCode]]/Tabla1[[#This Row],[NoFunctions]]</f>
        <v>14</v>
      </c>
      <c r="L17" s="19">
        <v>0.39290000000000003</v>
      </c>
      <c r="M17" s="19">
        <f>SUM(Tabla1[[#This Row],[CC]:[IDC]]) - Tabla1[[#This Row],[IRC]]</f>
        <v>22.392900000000001</v>
      </c>
      <c r="N17" s="7" t="str">
        <f t="shared" si="0"/>
        <v>Medio</v>
      </c>
      <c r="O17" s="19">
        <f>1 - ((Tabla1[[#This Row],[TPFM]]- $K$49) / ($K$48 - $K$49))</f>
        <v>0.62222222222222223</v>
      </c>
      <c r="P17" s="19">
        <v>4.54545454545454E-2</v>
      </c>
      <c r="Q17" s="19">
        <v>0</v>
      </c>
      <c r="R17" s="19">
        <f>SUM(Tabla1[[#This Row],[IPTFM]:[Comentarios]]) / 3</f>
        <v>0.22255892255892254</v>
      </c>
      <c r="S17" s="7">
        <f>Tabla1[[#This Row],[CC]]/10</f>
        <v>0.8</v>
      </c>
      <c r="T17" s="19">
        <f xml:space="preserve"> (Tabla1[[#This Row],[ICLC]] + (1 - Tabla1[[#This Row],[ICC]])) / 2</f>
        <v>0.21127946127946123</v>
      </c>
      <c r="U17" s="7" t="str">
        <f t="shared" si="1"/>
        <v>Medio</v>
      </c>
      <c r="V17" s="7">
        <v>1</v>
      </c>
      <c r="W17" s="7" t="str">
        <f t="shared" si="2"/>
        <v>Alto</v>
      </c>
    </row>
    <row r="18" spans="1:23" hidden="1">
      <c r="A18" s="2">
        <v>2024093410</v>
      </c>
      <c r="H18" s="17"/>
      <c r="I18" s="17">
        <f>Tabla1[[#This Row],[ERL]]+Tabla1[[#This Row],[IRL]]</f>
        <v>0</v>
      </c>
      <c r="K18" t="e">
        <f>Tabla1[[#This Row],[LoCode]]/Tabla1[[#This Row],[NoFunctions]]</f>
        <v>#DIV/0!</v>
      </c>
      <c r="L18" s="17"/>
      <c r="M18" s="17" t="e">
        <f>SUM(Tabla1[[#This Row],[CC]:[IDC]]) - Tabla1[[#This Row],[IRC]]</f>
        <v>#DIV/0!</v>
      </c>
      <c r="N18" t="e">
        <f t="shared" si="0"/>
        <v>#DIV/0!</v>
      </c>
      <c r="O18" s="17" t="e">
        <f>1 - ((Tabla1[[#This Row],[TPFM]]- $K$49) / ($K$48 - $K$49))</f>
        <v>#DIV/0!</v>
      </c>
      <c r="P18" s="17"/>
      <c r="Q18" s="17"/>
      <c r="R18" s="17" t="e">
        <f>SUM(Tabla1[[#This Row],[IPTFM]:[Comentarios]]) / 3</f>
        <v>#DIV/0!</v>
      </c>
      <c r="S18">
        <f>Tabla1[[#This Row],[CC]]/10</f>
        <v>0</v>
      </c>
      <c r="T18" s="17" t="e">
        <f xml:space="preserve"> (Tabla1[[#This Row],[ICLC]] + (1 - Tabla1[[#This Row],[ICC]])) / 2</f>
        <v>#DIV/0!</v>
      </c>
      <c r="U18" t="e">
        <f t="shared" si="1"/>
        <v>#DIV/0!</v>
      </c>
      <c r="W18" t="str">
        <f t="shared" si="2"/>
        <v>Bajo</v>
      </c>
    </row>
    <row r="19" spans="1:23" hidden="1">
      <c r="A19" s="2">
        <v>2024096731</v>
      </c>
      <c r="B19" t="s">
        <v>25</v>
      </c>
      <c r="C19" t="s">
        <v>53</v>
      </c>
      <c r="H19" s="17"/>
      <c r="I19" s="17">
        <f>Tabla1[[#This Row],[ERL]]+Tabla1[[#This Row],[IRL]]</f>
        <v>0</v>
      </c>
      <c r="K19" t="e">
        <f>Tabla1[[#This Row],[LoCode]]/Tabla1[[#This Row],[NoFunctions]]</f>
        <v>#DIV/0!</v>
      </c>
      <c r="L19" s="17"/>
      <c r="M19" s="17" t="e">
        <f>SUM(Tabla1[[#This Row],[CC]:[IDC]]) - Tabla1[[#This Row],[IRC]]</f>
        <v>#DIV/0!</v>
      </c>
      <c r="N19" t="e">
        <f t="shared" si="0"/>
        <v>#DIV/0!</v>
      </c>
      <c r="O19" s="17" t="e">
        <f>1 - ((Tabla1[[#This Row],[TPFM]]- $K$49) / ($K$48 - $K$49))</f>
        <v>#DIV/0!</v>
      </c>
      <c r="P19" s="17"/>
      <c r="Q19" s="17"/>
      <c r="R19" s="17" t="e">
        <f>SUM(Tabla1[[#This Row],[IPTFM]:[Comentarios]]) / 3</f>
        <v>#DIV/0!</v>
      </c>
      <c r="S19">
        <f>Tabla1[[#This Row],[CC]]/10</f>
        <v>0</v>
      </c>
      <c r="T19" s="17" t="e">
        <f xml:space="preserve"> (Tabla1[[#This Row],[ICLC]] + (1 - Tabla1[[#This Row],[ICC]])) / 2</f>
        <v>#DIV/0!</v>
      </c>
      <c r="U19" t="e">
        <f t="shared" si="1"/>
        <v>#DIV/0!</v>
      </c>
      <c r="W19" t="str">
        <f t="shared" si="2"/>
        <v>Bajo</v>
      </c>
    </row>
    <row r="20" spans="1:23" hidden="1">
      <c r="A20" s="2">
        <v>2024099007</v>
      </c>
      <c r="H20" s="17"/>
      <c r="I20" s="17">
        <f>Tabla1[[#This Row],[ERL]]+Tabla1[[#This Row],[IRL]]</f>
        <v>0</v>
      </c>
      <c r="K20" t="e">
        <f>Tabla1[[#This Row],[LoCode]]/Tabla1[[#This Row],[NoFunctions]]</f>
        <v>#DIV/0!</v>
      </c>
      <c r="L20" s="17"/>
      <c r="M20" s="17" t="e">
        <f>SUM(Tabla1[[#This Row],[CC]:[IDC]]) - Tabla1[[#This Row],[IRC]]</f>
        <v>#DIV/0!</v>
      </c>
      <c r="N20" t="e">
        <f t="shared" si="0"/>
        <v>#DIV/0!</v>
      </c>
      <c r="O20" s="17" t="e">
        <f>1 - ((Tabla1[[#This Row],[TPFM]]- $K$49) / ($K$48 - $K$49))</f>
        <v>#DIV/0!</v>
      </c>
      <c r="P20" s="17"/>
      <c r="Q20" s="17"/>
      <c r="R20" s="17" t="e">
        <f>SUM(Tabla1[[#This Row],[IPTFM]:[Comentarios]]) / 3</f>
        <v>#DIV/0!</v>
      </c>
      <c r="S20">
        <f>Tabla1[[#This Row],[CC]]/10</f>
        <v>0</v>
      </c>
      <c r="T20" s="17" t="e">
        <f xml:space="preserve"> (Tabla1[[#This Row],[ICLC]] + (1 - Tabla1[[#This Row],[ICC]])) / 2</f>
        <v>#DIV/0!</v>
      </c>
      <c r="U20" t="e">
        <f t="shared" si="1"/>
        <v>#DIV/0!</v>
      </c>
      <c r="W20" t="str">
        <f t="shared" si="2"/>
        <v>Bajo</v>
      </c>
    </row>
    <row r="21" spans="1:23" hidden="1">
      <c r="A21" s="2">
        <v>2024109692</v>
      </c>
      <c r="H21" s="17"/>
      <c r="I21" s="17">
        <f>Tabla1[[#This Row],[ERL]]+Tabla1[[#This Row],[IRL]]</f>
        <v>0</v>
      </c>
      <c r="K21" t="e">
        <f>Tabla1[[#This Row],[LoCode]]/Tabla1[[#This Row],[NoFunctions]]</f>
        <v>#DIV/0!</v>
      </c>
      <c r="L21" s="17"/>
      <c r="M21" s="17" t="e">
        <f>SUM(Tabla1[[#This Row],[CC]:[IDC]]) - Tabla1[[#This Row],[IRC]]</f>
        <v>#DIV/0!</v>
      </c>
      <c r="N21" t="e">
        <f t="shared" si="0"/>
        <v>#DIV/0!</v>
      </c>
      <c r="O21" s="17" t="e">
        <f>1 - ((Tabla1[[#This Row],[TPFM]]- $K$49) / ($K$48 - $K$49))</f>
        <v>#DIV/0!</v>
      </c>
      <c r="P21" s="17"/>
      <c r="Q21" s="17"/>
      <c r="R21" s="17" t="e">
        <f>SUM(Tabla1[[#This Row],[IPTFM]:[Comentarios]]) / 3</f>
        <v>#DIV/0!</v>
      </c>
      <c r="S21">
        <f>Tabla1[[#This Row],[CC]]/10</f>
        <v>0</v>
      </c>
      <c r="T21" s="17" t="e">
        <f xml:space="preserve"> (Tabla1[[#This Row],[ICLC]] + (1 - Tabla1[[#This Row],[ICC]])) / 2</f>
        <v>#DIV/0!</v>
      </c>
      <c r="U21" t="e">
        <f t="shared" si="1"/>
        <v>#DIV/0!</v>
      </c>
      <c r="W21" t="str">
        <f t="shared" si="2"/>
        <v>Bajo</v>
      </c>
    </row>
    <row r="22" spans="1:23" hidden="1">
      <c r="A22" s="2">
        <v>2024112230</v>
      </c>
      <c r="B22" t="s">
        <v>25</v>
      </c>
      <c r="C22" t="s">
        <v>53</v>
      </c>
      <c r="H22" s="17"/>
      <c r="I22" s="17">
        <f>Tabla1[[#This Row],[ERL]]+Tabla1[[#This Row],[IRL]]</f>
        <v>0</v>
      </c>
      <c r="K22" t="e">
        <f>Tabla1[[#This Row],[LoCode]]/Tabla1[[#This Row],[NoFunctions]]</f>
        <v>#DIV/0!</v>
      </c>
      <c r="L22" s="17"/>
      <c r="M22" s="17" t="e">
        <f>SUM(Tabla1[[#This Row],[CC]:[IDC]]) - Tabla1[[#This Row],[IRC]]</f>
        <v>#DIV/0!</v>
      </c>
      <c r="N22" t="e">
        <f t="shared" si="0"/>
        <v>#DIV/0!</v>
      </c>
      <c r="O22" s="17" t="e">
        <f>1 - ((Tabla1[[#This Row],[TPFM]]- $K$49) / ($K$48 - $K$49))</f>
        <v>#DIV/0!</v>
      </c>
      <c r="P22" s="17"/>
      <c r="Q22" s="17"/>
      <c r="R22" s="17" t="e">
        <f>SUM(Tabla1[[#This Row],[IPTFM]:[Comentarios]]) / 3</f>
        <v>#DIV/0!</v>
      </c>
      <c r="S22">
        <f>Tabla1[[#This Row],[CC]]/10</f>
        <v>0</v>
      </c>
      <c r="T22" s="17" t="e">
        <f xml:space="preserve"> (Tabla1[[#This Row],[ICLC]] + (1 - Tabla1[[#This Row],[ICC]])) / 2</f>
        <v>#DIV/0!</v>
      </c>
      <c r="U22" t="e">
        <f t="shared" si="1"/>
        <v>#DIV/0!</v>
      </c>
      <c r="W22" t="str">
        <f t="shared" si="2"/>
        <v>Bajo</v>
      </c>
    </row>
    <row r="23" spans="1:23" s="15" customFormat="1" ht="29.25">
      <c r="A23" s="14">
        <v>2024114502</v>
      </c>
      <c r="B23" s="15" t="s">
        <v>27</v>
      </c>
      <c r="C23" s="77" t="s">
        <v>55</v>
      </c>
      <c r="D23" s="15">
        <v>23</v>
      </c>
      <c r="E23" s="15">
        <v>9</v>
      </c>
      <c r="F23" s="15">
        <v>4</v>
      </c>
      <c r="G23" s="15">
        <v>0</v>
      </c>
      <c r="H23" s="23">
        <f>6/Tabla1[[#This Row],[LoCode]]</f>
        <v>0.2608695652173913</v>
      </c>
      <c r="I23" s="23">
        <f>Tabla1[[#This Row],[ERL]]+Tabla1[[#This Row],[IRL]]</f>
        <v>0.2608695652173913</v>
      </c>
      <c r="J23" s="15">
        <v>12</v>
      </c>
      <c r="K23" s="15">
        <f>Tabla1[[#This Row],[LoCode]]/Tabla1[[#This Row],[NoFunctions]]</f>
        <v>5.75</v>
      </c>
      <c r="L23" s="23">
        <v>0.28120000000000001</v>
      </c>
      <c r="M23" s="23">
        <f>SUM(Tabla1[[#This Row],[CC]:[IDC]]) - Tabla1[[#This Row],[IRC]]</f>
        <v>17.770330434782608</v>
      </c>
      <c r="N23" s="15" t="str">
        <f t="shared" si="0"/>
        <v>Alto</v>
      </c>
      <c r="O23" s="23">
        <f>1 - ((Tabla1[[#This Row],[TPFM]]- $K$49) / ($K$48 - $K$49))</f>
        <v>0.98888888888888893</v>
      </c>
      <c r="P23" s="23">
        <v>0.04</v>
      </c>
      <c r="Q23" s="23">
        <v>0</v>
      </c>
      <c r="R23" s="23">
        <f>SUM(Tabla1[[#This Row],[IPTFM]:[Comentarios]]) / 3</f>
        <v>0.34296296296296297</v>
      </c>
      <c r="S23" s="15">
        <f>Tabla1[[#This Row],[CC]]/10</f>
        <v>1.2</v>
      </c>
      <c r="T23" s="23">
        <f xml:space="preserve"> (Tabla1[[#This Row],[ICLC]] + (1 - Tabla1[[#This Row],[ICC]])) / 2</f>
        <v>7.1481481481481507E-2</v>
      </c>
      <c r="U23" s="15" t="str">
        <f t="shared" si="1"/>
        <v>Bajo</v>
      </c>
      <c r="V23" s="15">
        <v>0.88890000000000002</v>
      </c>
      <c r="W23" s="15" t="str">
        <f t="shared" si="2"/>
        <v>Bajo</v>
      </c>
    </row>
    <row r="24" spans="1:23" s="15" customFormat="1" ht="15.95">
      <c r="A24" s="14">
        <v>2024132538</v>
      </c>
      <c r="B24" s="15" t="s">
        <v>27</v>
      </c>
      <c r="C24" s="77" t="s">
        <v>56</v>
      </c>
      <c r="D24" s="15">
        <v>30</v>
      </c>
      <c r="E24" s="15">
        <v>1</v>
      </c>
      <c r="F24" s="15">
        <v>2</v>
      </c>
      <c r="G24" s="15">
        <v>0</v>
      </c>
      <c r="H24" s="23">
        <f>2/Tabla1[[#This Row],[LoCode]]</f>
        <v>6.6666666666666666E-2</v>
      </c>
      <c r="I24" s="23">
        <f>Tabla1[[#This Row],[ERL]]+Tabla1[[#This Row],[IRL]]</f>
        <v>6.6666666666666666E-2</v>
      </c>
      <c r="J24" s="23">
        <v>10</v>
      </c>
      <c r="K24" s="23">
        <f>Tabla1[[#This Row],[LoCode]]/Tabla1[[#This Row],[NoFunctions]]</f>
        <v>15</v>
      </c>
      <c r="L24" s="23">
        <v>0.56669999999999998</v>
      </c>
      <c r="M24" s="23">
        <f>SUM(Tabla1[[#This Row],[CC]:[IDC]]) - Tabla1[[#This Row],[IRC]]</f>
        <v>25.500033333333334</v>
      </c>
      <c r="N24" s="15" t="str">
        <f t="shared" si="0"/>
        <v>Bajo</v>
      </c>
      <c r="O24" s="23">
        <f>1 - ((Tabla1[[#This Row],[TPFM]]- $K$49) / ($K$48 - $K$49))</f>
        <v>0.57777777777777772</v>
      </c>
      <c r="P24" s="23">
        <v>9.5238095238095205E-2</v>
      </c>
      <c r="Q24" s="23">
        <v>0</v>
      </c>
      <c r="R24" s="23">
        <f>SUM(Tabla1[[#This Row],[IPTFM]:[Comentarios]]) / 3</f>
        <v>0.22433862433862431</v>
      </c>
      <c r="S24" s="15">
        <f>Tabla1[[#This Row],[CC]]/10</f>
        <v>1</v>
      </c>
      <c r="T24" s="23">
        <f xml:space="preserve"> (Tabla1[[#This Row],[ICLC]] + (1 - Tabla1[[#This Row],[ICC]])) / 2</f>
        <v>0.11216931216931215</v>
      </c>
      <c r="U24" s="15" t="str">
        <f t="shared" si="1"/>
        <v>Bajo</v>
      </c>
      <c r="V24" s="15">
        <v>1</v>
      </c>
      <c r="W24" s="15" t="str">
        <f t="shared" si="2"/>
        <v>Alto</v>
      </c>
    </row>
    <row r="25" spans="1:23" hidden="1">
      <c r="A25" s="2">
        <v>2024136072</v>
      </c>
      <c r="H25" s="17"/>
      <c r="I25" s="17">
        <f>Tabla1[[#This Row],[ERL]]+Tabla1[[#This Row],[IRL]]</f>
        <v>0</v>
      </c>
      <c r="K25" t="e">
        <f>Tabla1[[#This Row],[LoCode]]/Tabla1[[#This Row],[NoFunctions]]</f>
        <v>#DIV/0!</v>
      </c>
      <c r="L25" s="17"/>
      <c r="M25" s="17" t="e">
        <f>SUM(Tabla1[[#This Row],[CC]:[IDC]]) - Tabla1[[#This Row],[IRC]]</f>
        <v>#DIV/0!</v>
      </c>
      <c r="N25" t="e">
        <f t="shared" si="0"/>
        <v>#DIV/0!</v>
      </c>
      <c r="O25" s="17" t="e">
        <f>1 - ((Tabla1[[#This Row],[TPFM]]- $K$49) / ($K$48 - $K$49))</f>
        <v>#DIV/0!</v>
      </c>
      <c r="P25" s="17"/>
      <c r="Q25" s="17"/>
      <c r="R25" s="17" t="e">
        <f>SUM(Tabla1[[#This Row],[IPTFM]:[Comentarios]]) / 3</f>
        <v>#DIV/0!</v>
      </c>
      <c r="S25">
        <f>Tabla1[[#This Row],[CC]]/10</f>
        <v>0</v>
      </c>
      <c r="T25" s="17" t="e">
        <f xml:space="preserve"> (Tabla1[[#This Row],[ICLC]] + (1 - Tabla1[[#This Row],[ICC]])) / 2</f>
        <v>#DIV/0!</v>
      </c>
      <c r="U25" t="e">
        <f t="shared" si="1"/>
        <v>#DIV/0!</v>
      </c>
      <c r="W25" t="str">
        <f t="shared" si="2"/>
        <v>Bajo</v>
      </c>
    </row>
    <row r="26" spans="1:23" hidden="1">
      <c r="A26" s="2">
        <v>2024138712</v>
      </c>
      <c r="H26" s="17"/>
      <c r="I26" s="17">
        <f>Tabla1[[#This Row],[ERL]]+Tabla1[[#This Row],[IRL]]</f>
        <v>0</v>
      </c>
      <c r="K26" t="e">
        <f>Tabla1[[#This Row],[LoCode]]/Tabla1[[#This Row],[NoFunctions]]</f>
        <v>#DIV/0!</v>
      </c>
      <c r="L26" s="17"/>
      <c r="M26" s="17" t="e">
        <f>SUM(Tabla1[[#This Row],[CC]:[IDC]]) - Tabla1[[#This Row],[IRC]]</f>
        <v>#DIV/0!</v>
      </c>
      <c r="N26" t="e">
        <f t="shared" si="0"/>
        <v>#DIV/0!</v>
      </c>
      <c r="O26" s="17" t="e">
        <f>1 - ((Tabla1[[#This Row],[TPFM]]- $K$49) / ($K$48 - $K$49))</f>
        <v>#DIV/0!</v>
      </c>
      <c r="P26" s="17"/>
      <c r="Q26" s="17"/>
      <c r="R26" s="17" t="e">
        <f>SUM(Tabla1[[#This Row],[IPTFM]:[Comentarios]]) / 3</f>
        <v>#DIV/0!</v>
      </c>
      <c r="S26">
        <f>Tabla1[[#This Row],[CC]]/10</f>
        <v>0</v>
      </c>
      <c r="T26" s="17" t="e">
        <f xml:space="preserve"> (Tabla1[[#This Row],[ICLC]] + (1 - Tabla1[[#This Row],[ICC]])) / 2</f>
        <v>#DIV/0!</v>
      </c>
      <c r="U26" t="e">
        <f t="shared" si="1"/>
        <v>#DIV/0!</v>
      </c>
      <c r="W26" t="str">
        <f t="shared" si="2"/>
        <v>Bajo</v>
      </c>
    </row>
    <row r="27" spans="1:23" s="15" customFormat="1" ht="15.95">
      <c r="A27" s="14">
        <v>2024140841</v>
      </c>
      <c r="B27" s="15" t="s">
        <v>27</v>
      </c>
      <c r="C27" s="77" t="s">
        <v>56</v>
      </c>
      <c r="D27" s="15">
        <v>25</v>
      </c>
      <c r="E27" s="15">
        <v>13</v>
      </c>
      <c r="F27" s="15">
        <v>2</v>
      </c>
      <c r="G27" s="15">
        <v>0</v>
      </c>
      <c r="H27" s="23">
        <f>9/Tabla1[[#This Row],[LoCode]]</f>
        <v>0.36</v>
      </c>
      <c r="I27" s="23">
        <f>Tabla1[[#This Row],[ERL]]+Tabla1[[#This Row],[IRL]]</f>
        <v>0.36</v>
      </c>
      <c r="J27" s="15">
        <v>8</v>
      </c>
      <c r="K27" s="15">
        <f>Tabla1[[#This Row],[LoCode]]/Tabla1[[#This Row],[NoFunctions]]</f>
        <v>12.5</v>
      </c>
      <c r="L27" s="23">
        <v>0.72</v>
      </c>
      <c r="M27" s="23">
        <f>SUM(Tabla1[[#This Row],[CC]:[IDC]]) - Tabla1[[#This Row],[IRC]]</f>
        <v>20.86</v>
      </c>
      <c r="N27" s="15" t="str">
        <f t="shared" si="0"/>
        <v>Medio</v>
      </c>
      <c r="O27" s="23">
        <f>1 - ((Tabla1[[#This Row],[TPFM]]- $K$49) / ($K$48 - $K$49))</f>
        <v>0.68888888888888888</v>
      </c>
      <c r="P27" s="23">
        <v>4.3478260869565202E-2</v>
      </c>
      <c r="Q27" s="23">
        <v>0.112903225806451</v>
      </c>
      <c r="R27" s="23">
        <f>SUM(Tabla1[[#This Row],[IPTFM]:[Comentarios]]) / 3</f>
        <v>0.28175679185496832</v>
      </c>
      <c r="S27" s="15">
        <f>Tabla1[[#This Row],[CC]]/10</f>
        <v>0.8</v>
      </c>
      <c r="T27" s="23">
        <f xml:space="preserve"> (Tabla1[[#This Row],[ICLC]] + (1 - Tabla1[[#This Row],[ICC]])) / 2</f>
        <v>0.24087839592748414</v>
      </c>
      <c r="U27" s="15" t="str">
        <f t="shared" si="1"/>
        <v>Medio</v>
      </c>
      <c r="V27" s="15">
        <v>0.85709999999999997</v>
      </c>
      <c r="W27" s="15" t="str">
        <f t="shared" si="2"/>
        <v>Bajo</v>
      </c>
    </row>
    <row r="28" spans="1:23" s="29" customFormat="1" ht="32.1">
      <c r="A28" s="28">
        <v>2024145117</v>
      </c>
      <c r="B28" s="29" t="s">
        <v>29</v>
      </c>
      <c r="C28" s="30" t="s">
        <v>57</v>
      </c>
      <c r="D28" s="29">
        <v>24</v>
      </c>
      <c r="E28" s="29">
        <v>0</v>
      </c>
      <c r="F28" s="29">
        <v>1</v>
      </c>
      <c r="G28" s="29">
        <v>0</v>
      </c>
      <c r="H28" s="32">
        <v>0</v>
      </c>
      <c r="I28" s="32">
        <f>Tabla1[[#This Row],[ERL]]+Tabla1[[#This Row],[IRL]]</f>
        <v>0</v>
      </c>
      <c r="J28" s="29">
        <v>5</v>
      </c>
      <c r="K28" s="29">
        <f>Tabla1[[#This Row],[LoCode]]/Tabla1[[#This Row],[NoFunctions]]</f>
        <v>24</v>
      </c>
      <c r="L28" s="32">
        <v>0.4</v>
      </c>
      <c r="M28" s="32">
        <f>SUM(Tabla1[[#This Row],[CC]:[IDC]]) - Tabla1[[#This Row],[IRC]]</f>
        <v>29.4</v>
      </c>
      <c r="N28" s="29" t="str">
        <f t="shared" si="0"/>
        <v>Bajo</v>
      </c>
      <c r="O28" s="32">
        <f>1 - ((Tabla1[[#This Row],[TPFM]]- $K$49) / ($K$48 - $K$49))</f>
        <v>0.17777777777777781</v>
      </c>
      <c r="P28" s="32">
        <v>4.3478260869565202E-2</v>
      </c>
      <c r="Q28" s="32">
        <v>0</v>
      </c>
      <c r="R28" s="32">
        <f>SUM(Tabla1[[#This Row],[IPTFM]:[Comentarios]]) / 3</f>
        <v>7.3752012882447662E-2</v>
      </c>
      <c r="S28" s="29">
        <f>Tabla1[[#This Row],[CC]]/10</f>
        <v>0.5</v>
      </c>
      <c r="T28" s="32">
        <f xml:space="preserve"> (Tabla1[[#This Row],[ICLC]] + (1 - Tabla1[[#This Row],[ICC]])) / 2</f>
        <v>0.28687600644122385</v>
      </c>
      <c r="U28" s="29" t="str">
        <f t="shared" si="1"/>
        <v>Medio</v>
      </c>
      <c r="V28" s="29">
        <v>1</v>
      </c>
      <c r="W28" s="29" t="str">
        <f t="shared" si="2"/>
        <v>Alto</v>
      </c>
    </row>
    <row r="29" spans="1:23" hidden="1">
      <c r="A29" s="2">
        <v>2024145153</v>
      </c>
      <c r="H29" s="17"/>
      <c r="I29" s="17">
        <f>Tabla1[[#This Row],[ERL]]+Tabla1[[#This Row],[IRL]]</f>
        <v>0</v>
      </c>
      <c r="K29" t="e">
        <f>Tabla1[[#This Row],[LoCode]]/Tabla1[[#This Row],[NoFunctions]]</f>
        <v>#DIV/0!</v>
      </c>
      <c r="L29" s="17"/>
      <c r="M29" s="17" t="e">
        <f>SUM(Tabla1[[#This Row],[CC]:[IDC]]) - Tabla1[[#This Row],[IRC]]</f>
        <v>#DIV/0!</v>
      </c>
      <c r="N29" t="e">
        <f t="shared" si="0"/>
        <v>#DIV/0!</v>
      </c>
      <c r="O29" s="17" t="e">
        <f>1 - ((Tabla1[[#This Row],[TPFM]]- $K$49) / ($K$48 - $K$49))</f>
        <v>#DIV/0!</v>
      </c>
      <c r="P29" s="17"/>
      <c r="Q29" s="17"/>
      <c r="R29" s="17" t="e">
        <f>SUM(Tabla1[[#This Row],[IPTFM]:[Comentarios]]) / 3</f>
        <v>#DIV/0!</v>
      </c>
      <c r="S29">
        <f>Tabla1[[#This Row],[CC]]/10</f>
        <v>0</v>
      </c>
      <c r="T29" s="17" t="e">
        <f xml:space="preserve"> (Tabla1[[#This Row],[ICLC]] + (1 - Tabla1[[#This Row],[ICC]])) / 2</f>
        <v>#DIV/0!</v>
      </c>
      <c r="U29" t="e">
        <f t="shared" si="1"/>
        <v>#DIV/0!</v>
      </c>
      <c r="W29" t="str">
        <f t="shared" si="2"/>
        <v>Bajo</v>
      </c>
    </row>
    <row r="30" spans="1:23" s="7" customFormat="1">
      <c r="A30" s="6">
        <v>2024163735</v>
      </c>
      <c r="B30" s="7" t="s">
        <v>25</v>
      </c>
      <c r="C30" s="7" t="s">
        <v>26</v>
      </c>
      <c r="D30" s="7">
        <v>30</v>
      </c>
      <c r="E30" s="7">
        <v>6</v>
      </c>
      <c r="F30" s="7">
        <v>2</v>
      </c>
      <c r="G30" s="7">
        <v>0</v>
      </c>
      <c r="H30" s="19">
        <v>0</v>
      </c>
      <c r="I30" s="19">
        <f>Tabla1[[#This Row],[ERL]]+Tabla1[[#This Row],[IRL]]</f>
        <v>0</v>
      </c>
      <c r="J30" s="7">
        <v>8</v>
      </c>
      <c r="K30" s="7">
        <f>Tabla1[[#This Row],[LoCode]]/Tabla1[[#This Row],[NoFunctions]]</f>
        <v>15</v>
      </c>
      <c r="L30" s="19">
        <v>0.23530000000000001</v>
      </c>
      <c r="M30" s="19">
        <f>SUM(Tabla1[[#This Row],[CC]:[IDC]]) - Tabla1[[#This Row],[IRC]]</f>
        <v>23.235299999999999</v>
      </c>
      <c r="N30" s="7" t="str">
        <f t="shared" si="0"/>
        <v>Medio</v>
      </c>
      <c r="O30" s="19">
        <f>1 - ((Tabla1[[#This Row],[TPFM]]- $K$49) / ($K$48 - $K$49))</f>
        <v>0.57777777777777772</v>
      </c>
      <c r="P30" s="19">
        <v>4.3478260869565202E-2</v>
      </c>
      <c r="Q30" s="19">
        <v>0.194444444444444</v>
      </c>
      <c r="R30" s="19">
        <f>SUM(Tabla1[[#This Row],[IPTFM]:[Comentarios]]) / 3</f>
        <v>0.27190016103059561</v>
      </c>
      <c r="S30" s="7">
        <f>Tabla1[[#This Row],[CC]]/10</f>
        <v>0.8</v>
      </c>
      <c r="T30" s="19">
        <f xml:space="preserve"> (Tabla1[[#This Row],[ICLC]] + (1 - Tabla1[[#This Row],[ICC]])) / 2</f>
        <v>0.23595008051529778</v>
      </c>
      <c r="U30" s="7" t="str">
        <f t="shared" si="1"/>
        <v>Medio</v>
      </c>
      <c r="V30" s="7">
        <v>1</v>
      </c>
      <c r="W30" s="7" t="str">
        <f t="shared" si="2"/>
        <v>Alto</v>
      </c>
    </row>
    <row r="31" spans="1:23" hidden="1">
      <c r="A31" s="2">
        <v>2024178193</v>
      </c>
      <c r="H31" s="17"/>
      <c r="I31" s="17">
        <f>Tabla1[[#This Row],[ERL]]+Tabla1[[#This Row],[IRL]]</f>
        <v>0</v>
      </c>
      <c r="K31" t="e">
        <f>Tabla1[[#This Row],[LoCode]]/Tabla1[[#This Row],[NoFunctions]]</f>
        <v>#DIV/0!</v>
      </c>
      <c r="L31" s="17"/>
      <c r="M31" s="17" t="e">
        <f>SUM(Tabla1[[#This Row],[CC]:[IDC]]) - Tabla1[[#This Row],[IRC]]</f>
        <v>#DIV/0!</v>
      </c>
      <c r="N31" t="e">
        <f t="shared" si="0"/>
        <v>#DIV/0!</v>
      </c>
      <c r="O31" s="17" t="e">
        <f>1 - ((Tabla1[[#This Row],[TPFM]]- $K$49) / ($K$48 - $K$49))</f>
        <v>#DIV/0!</v>
      </c>
      <c r="P31" s="17"/>
      <c r="Q31" s="17"/>
      <c r="R31" s="17" t="e">
        <f>SUM(Tabla1[[#This Row],[IPTFM]:[Comentarios]]) / 3</f>
        <v>#DIV/0!</v>
      </c>
      <c r="S31">
        <f>Tabla1[[#This Row],[CC]]/10</f>
        <v>0</v>
      </c>
      <c r="T31" s="17" t="e">
        <f xml:space="preserve"> (Tabla1[[#This Row],[ICLC]] + (1 - Tabla1[[#This Row],[ICC]])) / 2</f>
        <v>#DIV/0!</v>
      </c>
      <c r="U31" t="e">
        <f t="shared" si="1"/>
        <v>#DIV/0!</v>
      </c>
      <c r="W31" t="str">
        <f t="shared" si="2"/>
        <v>Bajo</v>
      </c>
    </row>
    <row r="32" spans="1:23" hidden="1">
      <c r="A32" s="2">
        <v>2024178653</v>
      </c>
      <c r="B32" t="s">
        <v>25</v>
      </c>
      <c r="C32" t="s">
        <v>53</v>
      </c>
      <c r="H32" s="17"/>
      <c r="I32" s="17">
        <f>Tabla1[[#This Row],[ERL]]+Tabla1[[#This Row],[IRL]]</f>
        <v>0</v>
      </c>
      <c r="K32" t="e">
        <f>Tabla1[[#This Row],[LoCode]]/Tabla1[[#This Row],[NoFunctions]]</f>
        <v>#DIV/0!</v>
      </c>
      <c r="L32" s="17"/>
      <c r="M32" s="17" t="e">
        <f>SUM(Tabla1[[#This Row],[CC]:[IDC]]) - Tabla1[[#This Row],[IRC]]</f>
        <v>#DIV/0!</v>
      </c>
      <c r="N32" t="e">
        <f t="shared" si="0"/>
        <v>#DIV/0!</v>
      </c>
      <c r="O32" s="17" t="e">
        <f>1 - ((Tabla1[[#This Row],[TPFM]]- $K$49) / ($K$48 - $K$49))</f>
        <v>#DIV/0!</v>
      </c>
      <c r="P32" s="17"/>
      <c r="Q32" s="17"/>
      <c r="R32" s="17" t="e">
        <f>SUM(Tabla1[[#This Row],[IPTFM]:[Comentarios]]) / 3</f>
        <v>#DIV/0!</v>
      </c>
      <c r="S32">
        <f>Tabla1[[#This Row],[CC]]/10</f>
        <v>0</v>
      </c>
      <c r="T32" s="17" t="e">
        <f xml:space="preserve"> (Tabla1[[#This Row],[ICLC]] + (1 - Tabla1[[#This Row],[ICC]])) / 2</f>
        <v>#DIV/0!</v>
      </c>
      <c r="U32" t="e">
        <f t="shared" si="1"/>
        <v>#DIV/0!</v>
      </c>
      <c r="W32" t="str">
        <f t="shared" si="2"/>
        <v>Bajo</v>
      </c>
    </row>
    <row r="33" spans="1:23" hidden="1">
      <c r="A33" s="2">
        <v>2024192981</v>
      </c>
      <c r="H33" s="17"/>
      <c r="I33" s="17">
        <f>Tabla1[[#This Row],[ERL]]+Tabla1[[#This Row],[IRL]]</f>
        <v>0</v>
      </c>
      <c r="K33" t="e">
        <f>Tabla1[[#This Row],[LoCode]]/Tabla1[[#This Row],[NoFunctions]]</f>
        <v>#DIV/0!</v>
      </c>
      <c r="L33" s="17"/>
      <c r="M33" s="17" t="e">
        <f>SUM(Tabla1[[#This Row],[CC]:[IDC]]) - Tabla1[[#This Row],[IRC]]</f>
        <v>#DIV/0!</v>
      </c>
      <c r="N33" t="e">
        <f t="shared" si="0"/>
        <v>#DIV/0!</v>
      </c>
      <c r="O33" s="17" t="e">
        <f>1 - ((Tabla1[[#This Row],[TPFM]]- $K$49) / ($K$48 - $K$49))</f>
        <v>#DIV/0!</v>
      </c>
      <c r="P33" s="17"/>
      <c r="Q33" s="17"/>
      <c r="R33" s="17" t="e">
        <f>SUM(Tabla1[[#This Row],[IPTFM]:[Comentarios]]) / 3</f>
        <v>#DIV/0!</v>
      </c>
      <c r="S33">
        <f>Tabla1[[#This Row],[CC]]/10</f>
        <v>0</v>
      </c>
      <c r="T33" s="17" t="e">
        <f xml:space="preserve"> (Tabla1[[#This Row],[ICLC]] + (1 - Tabla1[[#This Row],[ICC]])) / 2</f>
        <v>#DIV/0!</v>
      </c>
      <c r="U33" t="e">
        <f t="shared" si="1"/>
        <v>#DIV/0!</v>
      </c>
      <c r="W33" t="str">
        <f t="shared" si="2"/>
        <v>Bajo</v>
      </c>
    </row>
    <row r="34" spans="1:23" hidden="1">
      <c r="A34" s="2">
        <v>2024201088</v>
      </c>
      <c r="B34" t="s">
        <v>25</v>
      </c>
      <c r="C34" t="s">
        <v>53</v>
      </c>
      <c r="H34" s="17"/>
      <c r="I34" s="17">
        <f>Tabla1[[#This Row],[ERL]]+Tabla1[[#This Row],[IRL]]</f>
        <v>0</v>
      </c>
      <c r="K34" t="e">
        <f>Tabla1[[#This Row],[LoCode]]/Tabla1[[#This Row],[NoFunctions]]</f>
        <v>#DIV/0!</v>
      </c>
      <c r="L34" s="17"/>
      <c r="M34" s="17" t="e">
        <f>SUM(Tabla1[[#This Row],[CC]:[IDC]]) - Tabla1[[#This Row],[IRC]]</f>
        <v>#DIV/0!</v>
      </c>
      <c r="N34" t="e">
        <f t="shared" si="0"/>
        <v>#DIV/0!</v>
      </c>
      <c r="O34" s="17" t="e">
        <f>1 - ((Tabla1[[#This Row],[TPFM]]- $K$49) / ($K$48 - $K$49))</f>
        <v>#DIV/0!</v>
      </c>
      <c r="P34" s="17"/>
      <c r="Q34" s="17"/>
      <c r="R34" s="17" t="e">
        <f>SUM(Tabla1[[#This Row],[IPTFM]:[Comentarios]]) / 3</f>
        <v>#DIV/0!</v>
      </c>
      <c r="S34">
        <f>Tabla1[[#This Row],[CC]]/10</f>
        <v>0</v>
      </c>
      <c r="T34" s="17" t="e">
        <f xml:space="preserve"> (Tabla1[[#This Row],[ICLC]] + (1 - Tabla1[[#This Row],[ICC]])) / 2</f>
        <v>#DIV/0!</v>
      </c>
      <c r="U34" t="e">
        <f t="shared" si="1"/>
        <v>#DIV/0!</v>
      </c>
      <c r="W34" t="str">
        <f t="shared" si="2"/>
        <v>Bajo</v>
      </c>
    </row>
    <row r="35" spans="1:23" hidden="1">
      <c r="A35" s="2">
        <v>2024202804</v>
      </c>
      <c r="H35" s="17"/>
      <c r="I35" s="17">
        <f>Tabla1[[#This Row],[ERL]]+Tabla1[[#This Row],[IRL]]</f>
        <v>0</v>
      </c>
      <c r="K35" t="e">
        <f>Tabla1[[#This Row],[LoCode]]/Tabla1[[#This Row],[NoFunctions]]</f>
        <v>#DIV/0!</v>
      </c>
      <c r="L35" s="17"/>
      <c r="M35" s="17" t="e">
        <f>SUM(Tabla1[[#This Row],[CC]:[IDC]]) - Tabla1[[#This Row],[IRC]]</f>
        <v>#DIV/0!</v>
      </c>
      <c r="N35" t="e">
        <f t="shared" si="0"/>
        <v>#DIV/0!</v>
      </c>
      <c r="O35" s="17" t="e">
        <f>1 - ((Tabla1[[#This Row],[TPFM]]- $K$49) / ($K$48 - $K$49))</f>
        <v>#DIV/0!</v>
      </c>
      <c r="P35" s="17"/>
      <c r="Q35" s="17"/>
      <c r="R35" s="17" t="e">
        <f>SUM(Tabla1[[#This Row],[IPTFM]:[Comentarios]]) / 3</f>
        <v>#DIV/0!</v>
      </c>
      <c r="S35">
        <f>Tabla1[[#This Row],[CC]]/10</f>
        <v>0</v>
      </c>
      <c r="T35" s="17" t="e">
        <f xml:space="preserve"> (Tabla1[[#This Row],[ICLC]] + (1 - Tabla1[[#This Row],[ICC]])) / 2</f>
        <v>#DIV/0!</v>
      </c>
      <c r="U35" t="e">
        <f t="shared" si="1"/>
        <v>#DIV/0!</v>
      </c>
      <c r="W35" t="str">
        <f t="shared" si="2"/>
        <v>Bajo</v>
      </c>
    </row>
    <row r="36" spans="1:23" s="7" customFormat="1" ht="32.1">
      <c r="A36" s="6">
        <v>2024252331</v>
      </c>
      <c r="B36" s="7" t="s">
        <v>25</v>
      </c>
      <c r="C36" s="8" t="s">
        <v>58</v>
      </c>
      <c r="D36" s="7">
        <v>28</v>
      </c>
      <c r="E36" s="7">
        <v>2</v>
      </c>
      <c r="F36" s="7">
        <v>1</v>
      </c>
      <c r="G36" s="7">
        <v>0</v>
      </c>
      <c r="H36" s="19">
        <f>4/Tabla1[[#This Row],[LoCode]]</f>
        <v>0.14285714285714285</v>
      </c>
      <c r="I36" s="19">
        <f>Tabla1[[#This Row],[ERL]]+Tabla1[[#This Row],[IRL]]</f>
        <v>0.14285714285714285</v>
      </c>
      <c r="J36" s="7">
        <v>9</v>
      </c>
      <c r="K36" s="7">
        <f>Tabla1[[#This Row],[LoCode]]/Tabla1[[#This Row],[NoFunctions]]</f>
        <v>28</v>
      </c>
      <c r="L36" s="19">
        <v>0.39290000000000003</v>
      </c>
      <c r="M36" s="19">
        <f>SUM(Tabla1[[#This Row],[CC]:[IDC]]) - Tabla1[[#This Row],[IRC]]</f>
        <v>37.250042857142851</v>
      </c>
      <c r="N36" s="7" t="str">
        <f t="shared" si="0"/>
        <v>Bajo</v>
      </c>
      <c r="O36" s="19">
        <f>1 - ((Tabla1[[#This Row],[TPFM]]- $K$49) / ($K$48 - $K$49))</f>
        <v>0</v>
      </c>
      <c r="P36" s="19">
        <v>4.1666666666666602E-2</v>
      </c>
      <c r="Q36" s="19">
        <v>0.05</v>
      </c>
      <c r="R36" s="19">
        <f>SUM(Tabla1[[#This Row],[IPTFM]:[Comentarios]]) / 3</f>
        <v>3.0555555555555534E-2</v>
      </c>
      <c r="S36" s="7">
        <f>Tabla1[[#This Row],[CC]]/10</f>
        <v>0.9</v>
      </c>
      <c r="T36" s="19">
        <f xml:space="preserve"> (Tabla1[[#This Row],[ICLC]] + (1 - Tabla1[[#This Row],[ICC]])) / 2</f>
        <v>6.5277777777777754E-2</v>
      </c>
      <c r="U36" s="7" t="str">
        <f t="shared" si="1"/>
        <v>Bajo</v>
      </c>
      <c r="V36" s="7">
        <v>0.88890000000000002</v>
      </c>
      <c r="W36" s="7" t="str">
        <f t="shared" si="2"/>
        <v>Bajo</v>
      </c>
    </row>
    <row r="37" spans="1:23" s="7" customFormat="1">
      <c r="A37" s="6">
        <v>2024253395</v>
      </c>
      <c r="B37" s="7" t="s">
        <v>25</v>
      </c>
      <c r="C37" s="7" t="s">
        <v>26</v>
      </c>
      <c r="D37" s="7">
        <v>18</v>
      </c>
      <c r="E37" s="7">
        <v>2</v>
      </c>
      <c r="F37" s="7">
        <v>1</v>
      </c>
      <c r="G37" s="7">
        <v>0</v>
      </c>
      <c r="H37" s="19">
        <f>2/Tabla1[[#This Row],[LoCode]]</f>
        <v>0.1111111111111111</v>
      </c>
      <c r="I37" s="19">
        <f>Tabla1[[#This Row],[ERL]]+Tabla1[[#This Row],[IRL]]</f>
        <v>0.1111111111111111</v>
      </c>
      <c r="J37" s="7">
        <v>1</v>
      </c>
      <c r="K37" s="7">
        <f>Tabla1[[#This Row],[LoCode]]/Tabla1[[#This Row],[NoFunctions]]</f>
        <v>18</v>
      </c>
      <c r="L37" s="19">
        <v>0.61109999999999998</v>
      </c>
      <c r="M37" s="19">
        <f>SUM(Tabla1[[#This Row],[CC]:[IDC]]) - Tabla1[[#This Row],[IRC]]</f>
        <v>19.49998888888889</v>
      </c>
      <c r="N37" s="7" t="str">
        <f t="shared" si="0"/>
        <v>Medio</v>
      </c>
      <c r="O37" s="19">
        <f>1 - ((Tabla1[[#This Row],[TPFM]]- $K$49) / ($K$48 - $K$49))</f>
        <v>0.44444444444444442</v>
      </c>
      <c r="P37" s="19">
        <v>3.5714285714285698E-2</v>
      </c>
      <c r="Q37" s="19">
        <v>6.25E-2</v>
      </c>
      <c r="R37" s="19">
        <f>SUM(Tabla1[[#This Row],[IPTFM]:[Comentarios]]) / 3</f>
        <v>0.18088624338624337</v>
      </c>
      <c r="S37" s="7">
        <f>Tabla1[[#This Row],[CC]]/10</f>
        <v>0.1</v>
      </c>
      <c r="T37" s="19">
        <f xml:space="preserve"> (Tabla1[[#This Row],[ICLC]] + (1 - Tabla1[[#This Row],[ICC]])) / 2</f>
        <v>0.5404431216931217</v>
      </c>
      <c r="U37" s="7" t="str">
        <f t="shared" si="1"/>
        <v>Alto</v>
      </c>
      <c r="V37" s="7">
        <v>1</v>
      </c>
      <c r="W37" s="7" t="str">
        <f t="shared" si="2"/>
        <v>Alto</v>
      </c>
    </row>
    <row r="38" spans="1:23" hidden="1">
      <c r="A38" s="2">
        <v>2024253434</v>
      </c>
      <c r="H38" s="17"/>
      <c r="I38" s="17">
        <f>Tabla1[[#This Row],[ERL]]+Tabla1[[#This Row],[IRL]]</f>
        <v>0</v>
      </c>
      <c r="K38" t="e">
        <f>Tabla1[[#This Row],[LoCode]]/Tabla1[[#This Row],[NoFunctions]]</f>
        <v>#DIV/0!</v>
      </c>
      <c r="L38" s="17"/>
      <c r="M38" s="17" t="e">
        <f>SUM(Tabla1[[#This Row],[CC]:[IDC]]) - Tabla1[[#This Row],[IRC]]</f>
        <v>#DIV/0!</v>
      </c>
      <c r="N38" t="e">
        <f t="shared" si="0"/>
        <v>#DIV/0!</v>
      </c>
      <c r="O38" s="17" t="e">
        <f>1 - ((Tabla1[[#This Row],[TPFM]]- $K$49) / ($K$48 - $K$49))</f>
        <v>#DIV/0!</v>
      </c>
      <c r="P38" s="17"/>
      <c r="Q38" s="17"/>
      <c r="R38" s="17" t="e">
        <f>SUM(Tabla1[[#This Row],[IPTFM]:[Comentarios]]) / 3</f>
        <v>#DIV/0!</v>
      </c>
      <c r="S38">
        <f>Tabla1[[#This Row],[CC]]/10</f>
        <v>0</v>
      </c>
      <c r="T38" s="17" t="e">
        <f xml:space="preserve"> (Tabla1[[#This Row],[ICLC]] + (1 - Tabla1[[#This Row],[ICC]])) / 2</f>
        <v>#DIV/0!</v>
      </c>
      <c r="U38" t="e">
        <f t="shared" si="1"/>
        <v>#DIV/0!</v>
      </c>
      <c r="W38" t="str">
        <f t="shared" si="2"/>
        <v>Bajo</v>
      </c>
    </row>
    <row r="39" spans="1:23" s="7" customFormat="1">
      <c r="A39" s="6">
        <v>2024256175</v>
      </c>
      <c r="B39" s="7" t="s">
        <v>25</v>
      </c>
      <c r="C39" s="7" t="s">
        <v>26</v>
      </c>
      <c r="D39" s="7">
        <v>23</v>
      </c>
      <c r="E39" s="7">
        <v>1</v>
      </c>
      <c r="F39" s="7">
        <v>1</v>
      </c>
      <c r="G39" s="7">
        <v>0</v>
      </c>
      <c r="H39" s="19">
        <v>0</v>
      </c>
      <c r="I39" s="19">
        <f>Tabla1[[#This Row],[ERL]]+Tabla1[[#This Row],[IRL]]</f>
        <v>0</v>
      </c>
      <c r="J39" s="7">
        <v>6</v>
      </c>
      <c r="K39" s="7">
        <f>Tabla1[[#This Row],[LoCode]]/Tabla1[[#This Row],[NoFunctions]]</f>
        <v>23</v>
      </c>
      <c r="L39" s="19">
        <v>0.78259999999999996</v>
      </c>
      <c r="M39" s="19">
        <f>SUM(Tabla1[[#This Row],[CC]:[IDC]]) - Tabla1[[#This Row],[IRC]]</f>
        <v>29.782599999999999</v>
      </c>
      <c r="N39" s="7" t="str">
        <f t="shared" si="0"/>
        <v>Bajo</v>
      </c>
      <c r="O39" s="19">
        <f>1 - ((Tabla1[[#This Row],[TPFM]]- $K$49) / ($K$48 - $K$49))</f>
        <v>0.22222222222222221</v>
      </c>
      <c r="P39" s="19">
        <v>4.7619047619047603E-2</v>
      </c>
      <c r="Q39" s="19">
        <v>0.27272727272727199</v>
      </c>
      <c r="R39" s="19">
        <f>SUM(Tabla1[[#This Row],[IPTFM]:[Comentarios]]) / 3</f>
        <v>0.1808561808561806</v>
      </c>
      <c r="S39" s="7">
        <f>Tabla1[[#This Row],[CC]]/10</f>
        <v>0.6</v>
      </c>
      <c r="T39" s="19">
        <f xml:space="preserve"> (Tabla1[[#This Row],[ICLC]] + (1 - Tabla1[[#This Row],[ICC]])) / 2</f>
        <v>0.29042809042809031</v>
      </c>
      <c r="U39" s="7" t="str">
        <f t="shared" si="1"/>
        <v>Medio</v>
      </c>
      <c r="V39" s="7">
        <v>1</v>
      </c>
      <c r="W39" s="7" t="str">
        <f t="shared" si="2"/>
        <v>Alto</v>
      </c>
    </row>
    <row r="40" spans="1:23" hidden="1">
      <c r="A40" s="2">
        <v>2024256560</v>
      </c>
      <c r="B40" t="s">
        <v>25</v>
      </c>
      <c r="C40" t="s">
        <v>53</v>
      </c>
      <c r="H40" s="17"/>
      <c r="I40" s="17">
        <f>Tabla1[[#This Row],[ERL]]+Tabla1[[#This Row],[IRL]]</f>
        <v>0</v>
      </c>
      <c r="K40" t="e">
        <f>Tabla1[[#This Row],[LoCode]]/Tabla1[[#This Row],[NoFunctions]]</f>
        <v>#DIV/0!</v>
      </c>
      <c r="L40" s="17"/>
      <c r="M40" s="17" t="e">
        <f>SUM(Tabla1[[#This Row],[CC]:[IDC]]) - Tabla1[[#This Row],[IRC]]</f>
        <v>#DIV/0!</v>
      </c>
      <c r="N40" t="e">
        <f t="shared" si="0"/>
        <v>#DIV/0!</v>
      </c>
      <c r="O40" s="17" t="e">
        <f>1 - ((Tabla1[[#This Row],[TPFM]]- $K$49) / ($K$48 - $K$49))</f>
        <v>#DIV/0!</v>
      </c>
      <c r="P40" s="17"/>
      <c r="Q40" s="17"/>
      <c r="R40" s="17" t="e">
        <f>SUM(Tabla1[[#This Row],[IPTFM]:[Comentarios]]) / 3</f>
        <v>#DIV/0!</v>
      </c>
      <c r="S40">
        <f>Tabla1[[#This Row],[CC]]/10</f>
        <v>0</v>
      </c>
      <c r="T40" s="17" t="e">
        <f xml:space="preserve"> (Tabla1[[#This Row],[ICLC]] + (1 - Tabla1[[#This Row],[ICC]])) / 2</f>
        <v>#DIV/0!</v>
      </c>
      <c r="U40" t="e">
        <f t="shared" si="1"/>
        <v>#DIV/0!</v>
      </c>
      <c r="W40" t="str">
        <f t="shared" si="2"/>
        <v>Bajo</v>
      </c>
    </row>
    <row r="41" spans="1:23" hidden="1">
      <c r="A41" s="2">
        <v>2024256710</v>
      </c>
      <c r="B41" t="s">
        <v>25</v>
      </c>
      <c r="C41" t="s">
        <v>53</v>
      </c>
      <c r="H41" s="17"/>
      <c r="I41" s="17">
        <f>Tabla1[[#This Row],[ERL]]+Tabla1[[#This Row],[IRL]]</f>
        <v>0</v>
      </c>
      <c r="K41" t="e">
        <f>Tabla1[[#This Row],[LoCode]]/Tabla1[[#This Row],[NoFunctions]]</f>
        <v>#DIV/0!</v>
      </c>
      <c r="L41" s="17"/>
      <c r="M41" s="17" t="e">
        <f>SUM(Tabla1[[#This Row],[CC]:[IDC]]) - Tabla1[[#This Row],[IRC]]</f>
        <v>#DIV/0!</v>
      </c>
      <c r="N41" t="e">
        <f t="shared" si="0"/>
        <v>#DIV/0!</v>
      </c>
      <c r="O41" s="17" t="e">
        <f>1 - ((Tabla1[[#This Row],[TPFM]]- $K$49) / ($K$48 - $K$49))</f>
        <v>#DIV/0!</v>
      </c>
      <c r="P41" s="17"/>
      <c r="Q41" s="17"/>
      <c r="R41" s="17" t="e">
        <f>SUM(Tabla1[[#This Row],[IPTFM]:[Comentarios]]) / 3</f>
        <v>#DIV/0!</v>
      </c>
      <c r="S41">
        <f>Tabla1[[#This Row],[CC]]/10</f>
        <v>0</v>
      </c>
      <c r="T41" s="17" t="e">
        <f xml:space="preserve"> (Tabla1[[#This Row],[ICLC]] + (1 - Tabla1[[#This Row],[ICC]])) / 2</f>
        <v>#DIV/0!</v>
      </c>
      <c r="U41" t="e">
        <f t="shared" si="1"/>
        <v>#DIV/0!</v>
      </c>
      <c r="W41" t="str">
        <f t="shared" si="2"/>
        <v>Bajo</v>
      </c>
    </row>
    <row r="42" spans="1:23" hidden="1">
      <c r="A42" s="2">
        <v>2024305867</v>
      </c>
      <c r="B42" t="s">
        <v>25</v>
      </c>
      <c r="C42" t="s">
        <v>53</v>
      </c>
      <c r="H42" s="17"/>
      <c r="I42" s="17">
        <f>Tabla1[[#This Row],[ERL]]+Tabla1[[#This Row],[IRL]]</f>
        <v>0</v>
      </c>
      <c r="K42" t="e">
        <f>Tabla1[[#This Row],[LoCode]]/Tabla1[[#This Row],[NoFunctions]]</f>
        <v>#DIV/0!</v>
      </c>
      <c r="L42" s="17"/>
      <c r="M42" s="17" t="e">
        <f>SUM(Tabla1[[#This Row],[CC]:[IDC]]) - Tabla1[[#This Row],[IRC]]</f>
        <v>#DIV/0!</v>
      </c>
      <c r="N42" t="e">
        <f t="shared" si="0"/>
        <v>#DIV/0!</v>
      </c>
      <c r="O42" s="17" t="e">
        <f>1 - ((Tabla1[[#This Row],[TPFM]]- $K$49) / ($K$48 - $K$49))</f>
        <v>#DIV/0!</v>
      </c>
      <c r="P42" s="17"/>
      <c r="Q42" s="17"/>
      <c r="R42" s="17" t="e">
        <f>SUM(Tabla1[[#This Row],[IPTFM]:[Comentarios]]) / 3</f>
        <v>#DIV/0!</v>
      </c>
      <c r="S42">
        <f>Tabla1[[#This Row],[CC]]/10</f>
        <v>0</v>
      </c>
      <c r="T42" s="17" t="e">
        <f xml:space="preserve"> (Tabla1[[#This Row],[ICLC]] + (1 - Tabla1[[#This Row],[ICC]])) / 2</f>
        <v>#DIV/0!</v>
      </c>
      <c r="U42" t="e">
        <f t="shared" si="1"/>
        <v>#DIV/0!</v>
      </c>
      <c r="W42" t="str">
        <f t="shared" si="2"/>
        <v>Bajo</v>
      </c>
    </row>
    <row r="43" spans="1:23" s="7" customFormat="1" ht="32.1">
      <c r="A43" s="6">
        <v>2024800088</v>
      </c>
      <c r="B43" s="7" t="s">
        <v>25</v>
      </c>
      <c r="C43" s="8" t="s">
        <v>58</v>
      </c>
      <c r="D43" s="7">
        <v>22</v>
      </c>
      <c r="E43" s="7">
        <v>0</v>
      </c>
      <c r="F43" s="7">
        <v>2</v>
      </c>
      <c r="G43" s="7">
        <v>0</v>
      </c>
      <c r="H43" s="19">
        <f>7/Tabla1[[#This Row],[LoCode]]</f>
        <v>0.31818181818181818</v>
      </c>
      <c r="I43" s="19">
        <f>Tabla1[[#This Row],[ERL]]+Tabla1[[#This Row],[IRL]]</f>
        <v>0.31818181818181818</v>
      </c>
      <c r="J43" s="7">
        <v>8</v>
      </c>
      <c r="K43" s="7">
        <f>Tabla1[[#This Row],[LoCode]]/Tabla1[[#This Row],[NoFunctions]]</f>
        <v>11</v>
      </c>
      <c r="L43" s="19">
        <v>0.30430000000000001</v>
      </c>
      <c r="M43" s="19">
        <f>SUM(Tabla1[[#This Row],[CC]:[IDC]]) - Tabla1[[#This Row],[IRC]]</f>
        <v>18.986118181818185</v>
      </c>
      <c r="N43" s="7" t="str">
        <f t="shared" si="0"/>
        <v>Medio</v>
      </c>
      <c r="O43" s="19">
        <f>1 - ((Tabla1[[#This Row],[TPFM]]- $K$49) / ($K$48 - $K$49))</f>
        <v>0.75555555555555554</v>
      </c>
      <c r="P43" s="19">
        <v>4.7619047619047603E-2</v>
      </c>
      <c r="Q43" s="19">
        <v>0</v>
      </c>
      <c r="R43" s="19">
        <f>SUM(Tabla1[[#This Row],[IPTFM]:[Comentarios]]) / 3</f>
        <v>0.2677248677248677</v>
      </c>
      <c r="S43" s="7">
        <f>Tabla1[[#This Row],[CC]]/10</f>
        <v>0.8</v>
      </c>
      <c r="T43" s="19">
        <f xml:space="preserve"> (Tabla1[[#This Row],[ICLC]] + (1 - Tabla1[[#This Row],[ICC]])) / 2</f>
        <v>0.23386243386243383</v>
      </c>
      <c r="U43" s="7" t="str">
        <f t="shared" si="1"/>
        <v>Medio</v>
      </c>
      <c r="V43" s="7">
        <v>1</v>
      </c>
      <c r="W43" s="7" t="str">
        <f t="shared" si="2"/>
        <v>Alto</v>
      </c>
    </row>
    <row r="44" spans="1:23" s="7" customFormat="1">
      <c r="A44" s="6">
        <v>2024800128</v>
      </c>
      <c r="B44" s="7" t="s">
        <v>25</v>
      </c>
      <c r="C44" s="7" t="s">
        <v>26</v>
      </c>
      <c r="D44" s="7">
        <v>17</v>
      </c>
      <c r="E44" s="7">
        <v>8</v>
      </c>
      <c r="F44" s="7">
        <v>2</v>
      </c>
      <c r="G44" s="7">
        <v>0</v>
      </c>
      <c r="H44" s="19">
        <f>4/Tabla1[[#This Row],[LoCode]]</f>
        <v>0.23529411764705882</v>
      </c>
      <c r="I44" s="19">
        <f>Tabla1[[#This Row],[ERL]]+Tabla1[[#This Row],[IRL]]</f>
        <v>0.23529411764705882</v>
      </c>
      <c r="J44" s="7">
        <v>8</v>
      </c>
      <c r="K44" s="7">
        <f>Tabla1[[#This Row],[LoCode]]/Tabla1[[#This Row],[NoFunctions]]</f>
        <v>8.5</v>
      </c>
      <c r="L44" s="19">
        <v>0.36359999999999998</v>
      </c>
      <c r="M44" s="19">
        <f>SUM(Tabla1[[#This Row],[CC]:[IDC]]) - Tabla1[[#This Row],[IRC]]</f>
        <v>16.628305882352944</v>
      </c>
      <c r="N44" s="7" t="str">
        <f t="shared" si="0"/>
        <v>Alto</v>
      </c>
      <c r="O44" s="19">
        <f>1 - ((Tabla1[[#This Row],[TPFM]]- $K$49) / ($K$48 - $K$49))</f>
        <v>0.8666666666666667</v>
      </c>
      <c r="P44" s="19">
        <v>4.3478260869565202E-2</v>
      </c>
      <c r="Q44" s="19">
        <v>0.13888888888888801</v>
      </c>
      <c r="R44" s="19">
        <f>SUM(Tabla1[[#This Row],[IPTFM]:[Comentarios]]) / 3</f>
        <v>0.34967793880837328</v>
      </c>
      <c r="S44" s="7">
        <f>Tabla1[[#This Row],[CC]]/10</f>
        <v>0.8</v>
      </c>
      <c r="T44" s="19">
        <f xml:space="preserve"> (Tabla1[[#This Row],[ICLC]] + (1 - Tabla1[[#This Row],[ICC]])) / 2</f>
        <v>0.27483896940418662</v>
      </c>
      <c r="U44" s="7" t="str">
        <f t="shared" si="1"/>
        <v>Medio</v>
      </c>
      <c r="V44" s="7">
        <v>1</v>
      </c>
      <c r="W44" s="7" t="str">
        <f t="shared" si="2"/>
        <v>Alto</v>
      </c>
    </row>
    <row r="45" spans="1:23" s="15" customFormat="1">
      <c r="A45" s="14">
        <v>2024800158</v>
      </c>
      <c r="B45" s="15" t="s">
        <v>27</v>
      </c>
      <c r="C45" s="15" t="s">
        <v>59</v>
      </c>
      <c r="D45" s="15">
        <v>11</v>
      </c>
      <c r="E45" s="15">
        <v>5</v>
      </c>
      <c r="F45" s="15">
        <v>2</v>
      </c>
      <c r="G45" s="15">
        <v>0</v>
      </c>
      <c r="H45" s="23">
        <f>3/Tabla1[[#This Row],[LoCode]]</f>
        <v>0.27272727272727271</v>
      </c>
      <c r="I45" s="23">
        <f>Tabla1[[#This Row],[ERL]]+Tabla1[[#This Row],[IRL]]</f>
        <v>0.27272727272727271</v>
      </c>
      <c r="J45" s="15">
        <v>5</v>
      </c>
      <c r="K45" s="15">
        <f>Tabla1[[#This Row],[LoCode]]/Tabla1[[#This Row],[NoFunctions]]</f>
        <v>5.5</v>
      </c>
      <c r="L45" s="23">
        <v>0.18179999999999999</v>
      </c>
      <c r="M45" s="23">
        <f>SUM(Tabla1[[#This Row],[CC]:[IDC]]) - Tabla1[[#This Row],[IRC]]</f>
        <v>10.409072727272727</v>
      </c>
      <c r="N45" s="15" t="str">
        <f t="shared" si="0"/>
        <v>Alto</v>
      </c>
      <c r="O45" s="23">
        <f>1 - ((Tabla1[[#This Row],[TPFM]]- $K$49) / ($K$48 - $K$49))</f>
        <v>1</v>
      </c>
      <c r="P45" s="23">
        <v>0.05</v>
      </c>
      <c r="Q45" s="23">
        <v>9.375E-2</v>
      </c>
      <c r="R45" s="23">
        <f>SUM(Tabla1[[#This Row],[IPTFM]:[Comentarios]]) / 3</f>
        <v>0.38125000000000003</v>
      </c>
      <c r="S45" s="15">
        <f>Tabla1[[#This Row],[CC]]/10</f>
        <v>0.5</v>
      </c>
      <c r="T45" s="23">
        <f xml:space="preserve"> (Tabla1[[#This Row],[ICLC]] + (1 - Tabla1[[#This Row],[ICC]])) / 2</f>
        <v>0.44062500000000004</v>
      </c>
      <c r="U45" s="15" t="str">
        <f t="shared" si="1"/>
        <v>Alto</v>
      </c>
      <c r="V45" s="15">
        <v>1</v>
      </c>
      <c r="W45" s="15" t="str">
        <f t="shared" si="2"/>
        <v>Alto</v>
      </c>
    </row>
    <row r="46" spans="1:23" hidden="1">
      <c r="A46" s="2">
        <v>2024800621</v>
      </c>
      <c r="B46" t="s">
        <v>25</v>
      </c>
      <c r="C46" t="s">
        <v>53</v>
      </c>
      <c r="H46" s="17"/>
      <c r="I46" s="17">
        <f>Tabla1[[#This Row],[ERL]]+Tabla1[[#This Row],[IRL]]</f>
        <v>0</v>
      </c>
      <c r="K46" t="e">
        <f>Tabla1[[#This Row],[LoCode]]/Tabla1[[#This Row],[NoFunctions]]</f>
        <v>#DIV/0!</v>
      </c>
      <c r="L46" s="17"/>
      <c r="M46" s="17" t="e">
        <f>SUM(Tabla1[[#This Row],[CC]:[IDC]]) - Tabla1[[#This Row],[IRC]]</f>
        <v>#DIV/0!</v>
      </c>
      <c r="N46" t="e">
        <f t="shared" si="0"/>
        <v>#DIV/0!</v>
      </c>
      <c r="O46" s="17" t="e">
        <f>1 - ((Tabla1[[#This Row],[TPFM]]- $K$49) / ($K$48 - $K$49))</f>
        <v>#DIV/0!</v>
      </c>
      <c r="P46" s="17"/>
      <c r="Q46" s="17"/>
      <c r="R46" s="17" t="e">
        <f>SUM(Tabla1[[#This Row],[IPTFM]:[Comentarios]]) / 3</f>
        <v>#DIV/0!</v>
      </c>
      <c r="S46">
        <f>Tabla1[[#This Row],[CC]]/10</f>
        <v>0</v>
      </c>
      <c r="T46" s="17" t="e">
        <f xml:space="preserve"> (Tabla1[[#This Row],[ICLC]] + (1 - Tabla1[[#This Row],[ICC]])) / 2</f>
        <v>#DIV/0!</v>
      </c>
      <c r="U46" t="e">
        <f t="shared" si="1"/>
        <v>#DIV/0!</v>
      </c>
      <c r="W46" t="str">
        <f t="shared" si="2"/>
        <v>Bajo</v>
      </c>
    </row>
    <row r="47" spans="1:23" s="7" customFormat="1" ht="32.1">
      <c r="A47" s="6">
        <v>2024800990</v>
      </c>
      <c r="B47" s="7" t="s">
        <v>25</v>
      </c>
      <c r="C47" s="8" t="s">
        <v>58</v>
      </c>
      <c r="D47" s="7">
        <v>16</v>
      </c>
      <c r="E47" s="7">
        <v>0</v>
      </c>
      <c r="F47" s="7">
        <v>1</v>
      </c>
      <c r="G47" s="7">
        <v>0</v>
      </c>
      <c r="H47" s="19">
        <f>3/Tabla1[[#This Row],[LoCode]]</f>
        <v>0.1875</v>
      </c>
      <c r="I47" s="19">
        <f>Tabla1[[#This Row],[ERL]]+Tabla1[[#This Row],[IRL]]</f>
        <v>0.1875</v>
      </c>
      <c r="J47" s="7">
        <v>5</v>
      </c>
      <c r="K47" s="7">
        <f>Tabla1[[#This Row],[LoCode]]/Tabla1[[#This Row],[NoFunctions]]</f>
        <v>16</v>
      </c>
      <c r="L47" s="19">
        <v>0.3125</v>
      </c>
      <c r="M47" s="19">
        <f>SUM(Tabla1[[#This Row],[CC]:[IDC]]) - Tabla1[[#This Row],[IRC]]</f>
        <v>21.125</v>
      </c>
      <c r="N47" s="7" t="str">
        <f t="shared" si="0"/>
        <v>Medio</v>
      </c>
      <c r="O47" s="19">
        <f>1 - ((Tabla1[[#This Row],[TPFM]]- $K$49) / ($K$48 - $K$49))</f>
        <v>0.53333333333333333</v>
      </c>
      <c r="P47" s="19">
        <v>9.0909090909090898E-2</v>
      </c>
      <c r="Q47" s="19">
        <v>0</v>
      </c>
      <c r="R47" s="19">
        <f>SUM(Tabla1[[#This Row],[IPTFM]:[Comentarios]]) / 3</f>
        <v>0.20808080808080809</v>
      </c>
      <c r="S47" s="7">
        <f>Tabla1[[#This Row],[CC]]/10</f>
        <v>0.5</v>
      </c>
      <c r="T47" s="19">
        <f xml:space="preserve"> (Tabla1[[#This Row],[ICLC]] + (1 - Tabla1[[#This Row],[ICC]])) / 2</f>
        <v>0.35404040404040404</v>
      </c>
      <c r="U47" s="7" t="str">
        <f t="shared" si="1"/>
        <v>Alto</v>
      </c>
      <c r="V47" s="7">
        <v>1</v>
      </c>
      <c r="W47" s="7" t="str">
        <f t="shared" si="2"/>
        <v>Alto</v>
      </c>
    </row>
    <row r="48" spans="1:23">
      <c r="F48" t="s">
        <v>41</v>
      </c>
      <c r="G48" s="17">
        <f>QUARTILE((M5,M7,M10,M13,M16,M17,M23,M24,M27,M28,M30,M36,M37,M39,M43,M44,M45,M47), 1)</f>
        <v>18.295215384615382</v>
      </c>
      <c r="K48">
        <f>MAX((K7,K10,K13,K16,K23,K17,K24,K27,K28,K30,K36,K37,K39,K43,K44,K45,K47))</f>
        <v>28</v>
      </c>
      <c r="P48" s="17">
        <f>QUARTILE((T5,T7,T10,T13,T16,T17,T23,T24,T27,T28,T36,T30,T37,T39,T43,T44,T45,T47), 1)</f>
        <v>0.21016113516113516</v>
      </c>
      <c r="V48">
        <f>QUARTILE((V36,V47,V45,V44,V43,V39,V37,V23,V24,V27,V28,V30,V17,V16,V13,V10,V7,V5), 1)</f>
        <v>1</v>
      </c>
    </row>
    <row r="49" spans="6:22">
      <c r="F49" t="s">
        <v>43</v>
      </c>
      <c r="G49" s="17">
        <f>QUARTILE((M5,M7,M10,M13,M16,M17,M23,M24,M27,M28,M30,M36,M37,M39,M43,M44,M45,M47), 2)</f>
        <v>20.9925</v>
      </c>
      <c r="K49">
        <f>MIN((K5,K7,K10,K13,K16,K17,K23,K24,K27,K28,K30,K36,K37,K43,K39,K44,K45,K47))</f>
        <v>5.5</v>
      </c>
      <c r="P49" s="17">
        <f>QUARTILE((T5,T7,T10,T13,T16,T17,T23,T24,T27,T28,T36,T30,T37,T39,T43,T44,T45,T47), 2)</f>
        <v>0.25785868266583539</v>
      </c>
    </row>
    <row r="50" spans="6:22">
      <c r="F50" t="s">
        <v>45</v>
      </c>
      <c r="G50" s="17">
        <f>QUARTILE((M5,M7,M10,M13,M16,M17,M23,M24,M27,M28,M30,M36,M37,M39,M43,M44,M45,M47), 3)</f>
        <v>24.977975000000001</v>
      </c>
      <c r="P50" s="17">
        <f>QUARTILE((T5,T7,T10,T13,T16,T17,T23,T24,T27,T28,T36,T30,T37,T39,T43,T44,T45,T47), 3)</f>
        <v>0.34006734006734007</v>
      </c>
      <c r="V50">
        <f>QUARTILE((V36,V47,V45,V44,V43,V39,V37,V23,V24,V27,V28,V30,V17,V16,V13,V10,V7,V5), 3)</f>
        <v>1</v>
      </c>
    </row>
    <row r="51" spans="6:22">
      <c r="F51" t="s">
        <v>46</v>
      </c>
      <c r="G51" s="17">
        <f>AVERAGE((M24,M28,M43,M45))</f>
        <v>21.07380606060606</v>
      </c>
    </row>
    <row r="52" spans="6:22">
      <c r="F52" t="s">
        <v>47</v>
      </c>
      <c r="G52" s="17">
        <f>STDEV((M24,M28,M43,M45))</f>
        <v>8.3068640520271835</v>
      </c>
    </row>
    <row r="53" spans="6:22">
      <c r="F53" t="s">
        <v>48</v>
      </c>
      <c r="G53" s="17">
        <f>G52/G51</f>
        <v>0.39417958142622705</v>
      </c>
    </row>
  </sheetData>
  <mergeCells count="4">
    <mergeCell ref="G1:N1"/>
    <mergeCell ref="O1:U1"/>
    <mergeCell ref="V1:W1"/>
    <mergeCell ref="X1:Y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69A8-1FDE-410B-BC7E-4DFEC943884B}">
  <dimension ref="A1:Y53"/>
  <sheetViews>
    <sheetView workbookViewId="0">
      <selection activeCell="F54" sqref="F54"/>
    </sheetView>
  </sheetViews>
  <sheetFormatPr defaultColWidth="8.85546875" defaultRowHeight="15"/>
  <cols>
    <col min="1" max="1" width="18.42578125" customWidth="1"/>
    <col min="2" max="2" width="18" customWidth="1"/>
    <col min="3" max="3" width="42.28515625" customWidth="1"/>
    <col min="4" max="4" width="11" bestFit="1" customWidth="1"/>
    <col min="5" max="5" width="16.42578125" bestFit="1" customWidth="1"/>
    <col min="6" max="6" width="20.7109375" bestFit="1" customWidth="1"/>
    <col min="7" max="7" width="29.28515625" bestFit="1" customWidth="1"/>
    <col min="11" max="11" width="22.42578125" bestFit="1" customWidth="1"/>
    <col min="13" max="13" width="22.7109375" customWidth="1"/>
    <col min="14" max="14" width="23.140625" bestFit="1" customWidth="1"/>
    <col min="15" max="15" width="9.42578125" bestFit="1" customWidth="1"/>
    <col min="16" max="16" width="31.42578125" bestFit="1" customWidth="1"/>
    <col min="17" max="17" width="17.28515625" bestFit="1" customWidth="1"/>
    <col min="20" max="20" width="17.42578125" bestFit="1" customWidth="1"/>
    <col min="21" max="21" width="14.42578125" bestFit="1" customWidth="1"/>
    <col min="23" max="23" width="14.7109375" bestFit="1" customWidth="1"/>
    <col min="24" max="24" width="22.42578125" bestFit="1" customWidth="1"/>
  </cols>
  <sheetData>
    <row r="1" spans="1:25">
      <c r="G1" s="78" t="s">
        <v>49</v>
      </c>
      <c r="H1" s="78"/>
      <c r="I1" s="78"/>
      <c r="J1" s="78"/>
      <c r="K1" s="78"/>
      <c r="L1" s="78"/>
      <c r="M1" s="78"/>
      <c r="N1" s="78"/>
      <c r="O1" s="79" t="s">
        <v>50</v>
      </c>
      <c r="P1" s="79"/>
      <c r="Q1" s="79"/>
      <c r="R1" s="79"/>
      <c r="S1" s="79"/>
      <c r="T1" s="79"/>
      <c r="U1" s="79"/>
      <c r="V1" s="80" t="s">
        <v>51</v>
      </c>
      <c r="W1" s="80"/>
      <c r="X1" s="81"/>
      <c r="Y1" s="81"/>
    </row>
    <row r="2" spans="1:25">
      <c r="A2" s="1" t="s">
        <v>0</v>
      </c>
      <c r="B2" s="1" t="s">
        <v>1</v>
      </c>
      <c r="C2" s="1" t="s">
        <v>52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2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60">
        <v>2016220461</v>
      </c>
      <c r="B3" s="61" t="s">
        <v>25</v>
      </c>
      <c r="C3" s="61" t="s">
        <v>60</v>
      </c>
      <c r="D3" s="61">
        <v>23</v>
      </c>
      <c r="E3" s="61">
        <v>0</v>
      </c>
      <c r="F3" s="61">
        <v>1</v>
      </c>
      <c r="G3" s="61">
        <v>0</v>
      </c>
      <c r="H3" s="61">
        <v>0</v>
      </c>
      <c r="I3" s="62">
        <f>Tabla14[[#This Row],[ERL]]+Tabla14[[#This Row],[IRL]]</f>
        <v>0</v>
      </c>
      <c r="J3" s="61">
        <v>6</v>
      </c>
      <c r="K3" s="61">
        <f>Tabla14[[#This Row],[LoCode]]/Tabla14[[#This Row],[NoFunctions]]</f>
        <v>23</v>
      </c>
      <c r="L3" s="62">
        <v>0.74</v>
      </c>
      <c r="M3" s="62">
        <f>SUM(Tabla14[[#This Row],[CC]:[IDC]]) - Tabla14[[#This Row],[IRC]]</f>
        <v>29.74</v>
      </c>
      <c r="N3" s="61" t="str">
        <f t="shared" ref="N3:N47" si="0">IF(M3 &lt; $G$48, "Alto", IF(M3 &lt; $G$50, "Medio", "Bajo"))</f>
        <v>Medio</v>
      </c>
      <c r="O3" s="62">
        <f>1 - ((Tabla14[[#This Row],[TPFM]]- $K$49) / ($K$48 - $K$49))</f>
        <v>0.51428571428571423</v>
      </c>
      <c r="P3" s="62">
        <v>0.04</v>
      </c>
      <c r="Q3" s="62">
        <v>0</v>
      </c>
      <c r="R3" s="62">
        <f>SUM(Tabla14[[#This Row],[IPTFM]:[Comentarios]]) / 3</f>
        <v>0.18476190476190477</v>
      </c>
      <c r="S3" s="61">
        <f>Tabla14[[#This Row],[CC]]/10</f>
        <v>0.6</v>
      </c>
      <c r="T3" s="62">
        <f xml:space="preserve"> (Tabla14[[#This Row],[ICLC]] + (1 - Tabla14[[#This Row],[ICC]])) / 2</f>
        <v>0.29238095238095241</v>
      </c>
      <c r="U3" s="61" t="str">
        <f t="shared" ref="U3:U47" si="1">IF(T3 &lt; $P$48, "Bajo", IF(T3 &lt; $P$50, "Medio", "Alto"))</f>
        <v>Medio</v>
      </c>
      <c r="V3" s="61">
        <v>1</v>
      </c>
      <c r="W3" s="61" t="str">
        <f t="shared" ref="W3:W47" si="2">IF(V3 &lt;= $V$48, "Alto", IF(V3 &lt; $V$50, "Medio", "Bajo"))</f>
        <v>Alto</v>
      </c>
      <c r="X3" s="61"/>
      <c r="Y3" s="61"/>
    </row>
    <row r="4" spans="1:25">
      <c r="A4" s="28">
        <v>2020184824</v>
      </c>
      <c r="B4" s="29" t="s">
        <v>27</v>
      </c>
      <c r="C4" s="29" t="s">
        <v>59</v>
      </c>
      <c r="D4" s="29">
        <v>11</v>
      </c>
      <c r="E4" s="29">
        <v>2</v>
      </c>
      <c r="F4" s="29">
        <v>1</v>
      </c>
      <c r="G4" s="29">
        <v>0</v>
      </c>
      <c r="H4" s="29">
        <v>0</v>
      </c>
      <c r="I4" s="32">
        <f>Tabla14[[#This Row],[ERL]]+Tabla14[[#This Row],[IRL]]</f>
        <v>0</v>
      </c>
      <c r="J4" s="29">
        <v>4</v>
      </c>
      <c r="K4" s="29">
        <f>Tabla14[[#This Row],[LoCode]]/Tabla14[[#This Row],[NoFunctions]]</f>
        <v>11</v>
      </c>
      <c r="L4" s="32">
        <v>0</v>
      </c>
      <c r="M4" s="32">
        <f>SUM(Tabla14[[#This Row],[CC]:[IDC]]) - Tabla14[[#This Row],[IRC]]</f>
        <v>15</v>
      </c>
      <c r="N4" s="29" t="str">
        <f t="shared" si="0"/>
        <v>Medio</v>
      </c>
      <c r="O4" s="32">
        <f>1 - ((Tabla14[[#This Row],[TPFM]]- $K$49) / ($K$48 - $K$49))</f>
        <v>0.85714285714285721</v>
      </c>
      <c r="P4" s="32">
        <v>0</v>
      </c>
      <c r="Q4" s="32">
        <v>0</v>
      </c>
      <c r="R4" s="32">
        <f>SUM(Tabla14[[#This Row],[IPTFM]:[Comentarios]]) / 3</f>
        <v>0.28571428571428575</v>
      </c>
      <c r="S4" s="29">
        <f>Tabla14[[#This Row],[CC]]/10</f>
        <v>0.4</v>
      </c>
      <c r="T4" s="32">
        <f xml:space="preserve"> (Tabla14[[#This Row],[ICLC]] + (1 - Tabla14[[#This Row],[ICC]])) / 2</f>
        <v>0.44285714285714284</v>
      </c>
      <c r="U4" s="29" t="str">
        <f t="shared" si="1"/>
        <v>Medio</v>
      </c>
      <c r="V4" s="29">
        <v>1</v>
      </c>
      <c r="W4" s="29" t="str">
        <f t="shared" si="2"/>
        <v>Alto</v>
      </c>
      <c r="X4" s="29"/>
      <c r="Y4" s="29"/>
    </row>
    <row r="5" spans="1:25" ht="15.95">
      <c r="A5" s="56">
        <v>2022000033</v>
      </c>
      <c r="B5" s="57" t="s">
        <v>27</v>
      </c>
      <c r="C5" s="58" t="s">
        <v>61</v>
      </c>
      <c r="D5" s="57"/>
      <c r="E5" s="57"/>
      <c r="F5" s="57"/>
      <c r="G5" s="57"/>
      <c r="H5" s="57"/>
      <c r="I5" s="59">
        <f>Tabla14[[#This Row],[ERL]]+Tabla14[[#This Row],[IRL]]</f>
        <v>0</v>
      </c>
      <c r="J5" s="57"/>
      <c r="K5" s="57" t="e">
        <f>Tabla14[[#This Row],[LoCode]]/Tabla14[[#This Row],[NoFunctions]]</f>
        <v>#DIV/0!</v>
      </c>
      <c r="L5" s="59"/>
      <c r="M5" s="59" t="e">
        <f>SUM(Tabla14[[#This Row],[CC]:[IDC]]) - Tabla14[[#This Row],[IRC]]</f>
        <v>#DIV/0!</v>
      </c>
      <c r="N5" s="57" t="e">
        <f t="shared" si="0"/>
        <v>#DIV/0!</v>
      </c>
      <c r="O5" s="59" t="e">
        <f>1 - ((Tabla14[[#This Row],[TPFM]]- $K$49) / ($K$48 - $K$49))</f>
        <v>#DIV/0!</v>
      </c>
      <c r="P5" s="17"/>
      <c r="Q5" s="59"/>
      <c r="R5" s="59" t="e">
        <f>SUM(Tabla14[[#This Row],[IPTFM]:[Comentarios]]) / 3</f>
        <v>#DIV/0!</v>
      </c>
      <c r="S5" s="57">
        <f>Tabla14[[#This Row],[CC]]/10</f>
        <v>0</v>
      </c>
      <c r="T5" s="59" t="e">
        <f xml:space="preserve"> (Tabla14[[#This Row],[ICLC]] + (1 - Tabla14[[#This Row],[ICC]])) / 2</f>
        <v>#DIV/0!</v>
      </c>
      <c r="U5" s="57" t="e">
        <f t="shared" si="1"/>
        <v>#DIV/0!</v>
      </c>
      <c r="V5" s="57"/>
      <c r="W5" s="57" t="str">
        <f t="shared" si="2"/>
        <v>Alto</v>
      </c>
      <c r="X5" s="57"/>
      <c r="Y5" s="57"/>
    </row>
    <row r="6" spans="1:25">
      <c r="A6" s="2">
        <v>2022146515</v>
      </c>
      <c r="B6" t="s">
        <v>25</v>
      </c>
      <c r="C6" t="s">
        <v>62</v>
      </c>
      <c r="I6" s="17">
        <f>Tabla14[[#This Row],[ERL]]+Tabla14[[#This Row],[IRL]]</f>
        <v>0</v>
      </c>
      <c r="K6" t="e">
        <f>Tabla14[[#This Row],[LoCode]]/Tabla14[[#This Row],[NoFunctions]]</f>
        <v>#DIV/0!</v>
      </c>
      <c r="L6" s="17"/>
      <c r="M6" s="17" t="e">
        <f>SUM(Tabla14[[#This Row],[CC]:[IDC]]) - Tabla14[[#This Row],[IRC]]</f>
        <v>#DIV/0!</v>
      </c>
      <c r="N6" t="e">
        <f t="shared" si="0"/>
        <v>#DIV/0!</v>
      </c>
      <c r="O6" s="17" t="e">
        <f>1 - ((Tabla14[[#This Row],[TPFM]]- $K$49) / ($K$48 - $K$49))</f>
        <v>#DIV/0!</v>
      </c>
      <c r="P6" s="59"/>
      <c r="Q6" s="17"/>
      <c r="R6" s="17" t="e">
        <f>SUM(Tabla14[[#This Row],[IPTFM]:[Comentarios]]) / 3</f>
        <v>#DIV/0!</v>
      </c>
      <c r="S6">
        <f>Tabla14[[#This Row],[CC]]/10</f>
        <v>0</v>
      </c>
      <c r="T6" s="17" t="e">
        <f xml:space="preserve"> (Tabla14[[#This Row],[ICLC]] + (1 - Tabla14[[#This Row],[ICC]])) / 2</f>
        <v>#DIV/0!</v>
      </c>
      <c r="U6" t="e">
        <f t="shared" si="1"/>
        <v>#DIV/0!</v>
      </c>
      <c r="W6" t="str">
        <f t="shared" si="2"/>
        <v>Alto</v>
      </c>
    </row>
    <row r="7" spans="1:25">
      <c r="A7" s="70">
        <v>2022163260</v>
      </c>
      <c r="B7" s="71" t="s">
        <v>27</v>
      </c>
      <c r="C7" s="71" t="s">
        <v>63</v>
      </c>
      <c r="D7" s="71">
        <v>32</v>
      </c>
      <c r="E7" s="71">
        <v>0</v>
      </c>
      <c r="F7" s="71">
        <v>1</v>
      </c>
      <c r="G7" s="71">
        <v>0</v>
      </c>
      <c r="H7" s="71">
        <v>0</v>
      </c>
      <c r="I7" s="72">
        <f>Tabla14[[#This Row],[ERL]]+Tabla14[[#This Row],[IRL]]</f>
        <v>0</v>
      </c>
      <c r="J7" s="71">
        <v>12</v>
      </c>
      <c r="K7" s="71">
        <f>Tabla14[[#This Row],[LoCode]]/Tabla14[[#This Row],[NoFunctions]]</f>
        <v>32</v>
      </c>
      <c r="L7" s="72">
        <v>0.77</v>
      </c>
      <c r="M7" s="72">
        <f>QUARTILE((M4,M16,M28,M45,M13,M34,M3,M24), 1)</f>
        <v>11.895</v>
      </c>
      <c r="N7" s="71" t="str">
        <f t="shared" si="0"/>
        <v>Alto</v>
      </c>
      <c r="O7" s="72">
        <f>1 - ((Tabla14[[#This Row],[TPFM]]- $K$49) / ($K$48 - $K$49))</f>
        <v>0.25714285714285712</v>
      </c>
      <c r="P7" s="72">
        <v>0.09</v>
      </c>
      <c r="Q7" s="72">
        <v>0</v>
      </c>
      <c r="R7" s="72">
        <f>SUM(Tabla14[[#This Row],[IPTFM]:[Comentarios]]) / 3</f>
        <v>0.1157142857142857</v>
      </c>
      <c r="S7" s="71">
        <f>Tabla14[[#This Row],[CC]]/10</f>
        <v>1.2</v>
      </c>
      <c r="T7" s="72">
        <f xml:space="preserve"> (Tabla14[[#This Row],[ICLC]] + (1 - Tabla14[[#This Row],[ICC]])) / 2</f>
        <v>-4.2142857142857128E-2</v>
      </c>
      <c r="U7" s="71" t="str">
        <f t="shared" si="1"/>
        <v>Bajo</v>
      </c>
      <c r="V7" s="71">
        <v>1</v>
      </c>
      <c r="W7" s="71" t="str">
        <f t="shared" si="2"/>
        <v>Alto</v>
      </c>
      <c r="X7" s="71"/>
      <c r="Y7" s="71"/>
    </row>
    <row r="8" spans="1:25">
      <c r="A8" s="43">
        <v>2023066681</v>
      </c>
      <c r="B8" s="44" t="s">
        <v>25</v>
      </c>
      <c r="C8" s="44" t="s">
        <v>60</v>
      </c>
      <c r="D8" s="44">
        <v>31</v>
      </c>
      <c r="E8" s="44">
        <v>0</v>
      </c>
      <c r="F8" s="44">
        <v>1</v>
      </c>
      <c r="G8" s="44">
        <v>0</v>
      </c>
      <c r="H8" s="44">
        <v>0</v>
      </c>
      <c r="I8" s="45">
        <f>Tabla14[[#This Row],[ERL]]+Tabla14[[#This Row],[IRL]]</f>
        <v>0</v>
      </c>
      <c r="J8" s="44">
        <v>8</v>
      </c>
      <c r="K8" s="44">
        <f>Tabla14[[#This Row],[LoCode]]/Tabla14[[#This Row],[NoFunctions]]</f>
        <v>31</v>
      </c>
      <c r="L8" s="45">
        <v>0.71</v>
      </c>
      <c r="M8" s="45">
        <f>SUM(Tabla14[[#This Row],[CC]:[IDC]]) - Tabla14[[#This Row],[IRC]]</f>
        <v>39.71</v>
      </c>
      <c r="N8" s="44" t="str">
        <f t="shared" si="0"/>
        <v>Medio</v>
      </c>
      <c r="O8" s="45">
        <f>1 - ((Tabla14[[#This Row],[TPFM]]- $K$49) / ($K$48 - $K$49))</f>
        <v>0.2857142857142857</v>
      </c>
      <c r="P8" s="45">
        <v>0.04</v>
      </c>
      <c r="Q8" s="45">
        <v>0</v>
      </c>
      <c r="R8" s="45">
        <f>SUM(Tabla14[[#This Row],[IPTFM]:[Comentarios]]) / 3</f>
        <v>0.10857142857142855</v>
      </c>
      <c r="S8" s="44">
        <f>Tabla14[[#This Row],[CC]]/10</f>
        <v>0.8</v>
      </c>
      <c r="T8" s="45">
        <f xml:space="preserve"> (Tabla14[[#This Row],[ICLC]] + (1 - Tabla14[[#This Row],[ICC]])) / 2</f>
        <v>0.15428571428571425</v>
      </c>
      <c r="U8" s="44" t="str">
        <f t="shared" si="1"/>
        <v>Medio</v>
      </c>
      <c r="V8" s="44">
        <v>1</v>
      </c>
      <c r="W8" s="44" t="str">
        <f t="shared" si="2"/>
        <v>Alto</v>
      </c>
      <c r="X8" s="44"/>
      <c r="Y8" s="44"/>
    </row>
    <row r="9" spans="1:25">
      <c r="A9" s="2">
        <v>2023112646</v>
      </c>
      <c r="C9" t="s">
        <v>64</v>
      </c>
      <c r="I9" s="17">
        <f>Tabla14[[#This Row],[ERL]]+Tabla14[[#This Row],[IRL]]</f>
        <v>0</v>
      </c>
      <c r="K9" t="e">
        <f>Tabla14[[#This Row],[LoCode]]/Tabla14[[#This Row],[NoFunctions]]</f>
        <v>#DIV/0!</v>
      </c>
      <c r="L9" s="17"/>
      <c r="M9" s="17" t="e">
        <f>SUM(Tabla14[[#This Row],[CC]:[IDC]]) - Tabla14[[#This Row],[IRC]]</f>
        <v>#DIV/0!</v>
      </c>
      <c r="N9" t="e">
        <f t="shared" si="0"/>
        <v>#DIV/0!</v>
      </c>
      <c r="O9" s="17" t="e">
        <f>1 - ((Tabla14[[#This Row],[TPFM]]- $K$49) / ($K$48 - $K$49))</f>
        <v>#DIV/0!</v>
      </c>
      <c r="P9" s="17"/>
      <c r="Q9" s="17"/>
      <c r="R9" s="17" t="e">
        <f>SUM(Tabla14[[#This Row],[IPTFM]:[Comentarios]]) / 3</f>
        <v>#DIV/0!</v>
      </c>
      <c r="S9">
        <f>Tabla14[[#This Row],[CC]]/10</f>
        <v>0</v>
      </c>
      <c r="T9" s="17" t="e">
        <f xml:space="preserve"> (Tabla14[[#This Row],[ICLC]] + (1 - Tabla14[[#This Row],[ICC]])) / 2</f>
        <v>#DIV/0!</v>
      </c>
      <c r="U9" t="e">
        <f t="shared" si="1"/>
        <v>#DIV/0!</v>
      </c>
      <c r="W9" t="str">
        <f t="shared" si="2"/>
        <v>Alto</v>
      </c>
    </row>
    <row r="10" spans="1:25" ht="15.95">
      <c r="A10" s="51">
        <v>2023147244</v>
      </c>
      <c r="B10" s="52" t="s">
        <v>25</v>
      </c>
      <c r="C10" s="53" t="s">
        <v>65</v>
      </c>
      <c r="D10" s="52">
        <v>21</v>
      </c>
      <c r="E10" s="52">
        <v>1</v>
      </c>
      <c r="F10" s="52">
        <v>1</v>
      </c>
      <c r="G10" s="52">
        <v>0</v>
      </c>
      <c r="H10" s="52">
        <v>0</v>
      </c>
      <c r="I10" s="54">
        <f>Tabla14[[#This Row],[ERL]]+Tabla14[[#This Row],[IRL]]</f>
        <v>0</v>
      </c>
      <c r="J10" s="52">
        <v>10</v>
      </c>
      <c r="K10" s="52">
        <f>Tabla14[[#This Row],[LoCode]]/Tabla14[[#This Row],[NoFunctions]]</f>
        <v>21</v>
      </c>
      <c r="L10" s="54">
        <v>0.38</v>
      </c>
      <c r="M10" s="54">
        <f>SUM(Tabla14[[#This Row],[CC]:[IDC]]) - Tabla14[[#This Row],[IRC]]</f>
        <v>31.38</v>
      </c>
      <c r="N10" s="52" t="str">
        <f t="shared" si="0"/>
        <v>Medio</v>
      </c>
      <c r="O10" s="54">
        <f>1 - ((Tabla14[[#This Row],[TPFM]]- $K$49) / ($K$48 - $K$49))</f>
        <v>0.5714285714285714</v>
      </c>
      <c r="P10" s="54">
        <v>0.09</v>
      </c>
      <c r="Q10" s="54">
        <v>0.06</v>
      </c>
      <c r="R10" s="54">
        <f>SUM(Tabla14[[#This Row],[IPTFM]:[Comentarios]]) / 3</f>
        <v>0.24047619047619043</v>
      </c>
      <c r="S10" s="52">
        <f>Tabla14[[#This Row],[CC]]/10</f>
        <v>1</v>
      </c>
      <c r="T10" s="54">
        <f xml:space="preserve"> (Tabla14[[#This Row],[ICLC]] + (1 - Tabla14[[#This Row],[ICC]])) / 2</f>
        <v>0.12023809523809521</v>
      </c>
      <c r="U10" s="52" t="str">
        <f t="shared" si="1"/>
        <v>Medio</v>
      </c>
      <c r="V10" s="52">
        <v>1</v>
      </c>
      <c r="W10" s="52" t="str">
        <f t="shared" si="2"/>
        <v>Alto</v>
      </c>
      <c r="X10" s="52"/>
      <c r="Y10" s="52"/>
    </row>
    <row r="11" spans="1:25">
      <c r="A11" s="2">
        <v>2023152721</v>
      </c>
      <c r="B11" t="s">
        <v>25</v>
      </c>
      <c r="C11" t="s">
        <v>66</v>
      </c>
      <c r="I11" s="17">
        <f>Tabla14[[#This Row],[ERL]]+Tabla14[[#This Row],[IRL]]</f>
        <v>0</v>
      </c>
      <c r="K11" t="e">
        <f>Tabla14[[#This Row],[LoCode]]/Tabla14[[#This Row],[NoFunctions]]</f>
        <v>#DIV/0!</v>
      </c>
      <c r="L11" s="17"/>
      <c r="M11" s="17" t="e">
        <f>SUM(Tabla14[[#This Row],[CC]:[IDC]]) - Tabla14[[#This Row],[IRC]]</f>
        <v>#DIV/0!</v>
      </c>
      <c r="N11" t="e">
        <f t="shared" si="0"/>
        <v>#DIV/0!</v>
      </c>
      <c r="O11" s="17" t="e">
        <f>1 - ((Tabla14[[#This Row],[TPFM]]- $K$49) / ($K$48 - $K$49))</f>
        <v>#DIV/0!</v>
      </c>
      <c r="P11" s="17"/>
      <c r="Q11" s="17"/>
      <c r="R11" s="17" t="e">
        <f>SUM(Tabla14[[#This Row],[IPTFM]:[Comentarios]]) / 3</f>
        <v>#DIV/0!</v>
      </c>
      <c r="S11">
        <f>Tabla14[[#This Row],[CC]]/10</f>
        <v>0</v>
      </c>
      <c r="T11" s="17" t="e">
        <f xml:space="preserve"> (Tabla14[[#This Row],[ICLC]] + (1 - Tabla14[[#This Row],[ICC]])) / 2</f>
        <v>#DIV/0!</v>
      </c>
      <c r="U11" t="e">
        <f t="shared" si="1"/>
        <v>#DIV/0!</v>
      </c>
      <c r="W11" t="str">
        <f t="shared" si="2"/>
        <v>Alto</v>
      </c>
    </row>
    <row r="12" spans="1:25">
      <c r="A12" s="2">
        <v>2024063271</v>
      </c>
      <c r="B12" t="s">
        <v>25</v>
      </c>
      <c r="C12" t="s">
        <v>67</v>
      </c>
      <c r="I12" s="17">
        <f>Tabla14[[#This Row],[ERL]]+Tabla14[[#This Row],[IRL]]</f>
        <v>0</v>
      </c>
      <c r="K12" t="e">
        <f>Tabla14[[#This Row],[LoCode]]/Tabla14[[#This Row],[NoFunctions]]</f>
        <v>#DIV/0!</v>
      </c>
      <c r="L12" s="17"/>
      <c r="M12" s="17" t="e">
        <f>SUM(Tabla14[[#This Row],[CC]:[IDC]]) - Tabla14[[#This Row],[IRC]]</f>
        <v>#DIV/0!</v>
      </c>
      <c r="N12" t="e">
        <f t="shared" si="0"/>
        <v>#DIV/0!</v>
      </c>
      <c r="O12" s="17" t="e">
        <f>1 - ((Tabla14[[#This Row],[TPFM]]- $K$49) / ($K$48 - $K$49))</f>
        <v>#DIV/0!</v>
      </c>
      <c r="P12" s="17"/>
      <c r="Q12" s="17"/>
      <c r="R12" s="17" t="e">
        <f>SUM(Tabla14[[#This Row],[IPTFM]:[Comentarios]]) / 3</f>
        <v>#DIV/0!</v>
      </c>
      <c r="S12">
        <f>Tabla14[[#This Row],[CC]]/10</f>
        <v>0</v>
      </c>
      <c r="T12" s="17" t="e">
        <f xml:space="preserve"> (Tabla14[[#This Row],[ICLC]] + (1 - Tabla14[[#This Row],[ICC]])) / 2</f>
        <v>#DIV/0!</v>
      </c>
      <c r="U12" t="e">
        <f t="shared" si="1"/>
        <v>#DIV/0!</v>
      </c>
      <c r="W12" t="str">
        <f t="shared" si="2"/>
        <v>Alto</v>
      </c>
    </row>
    <row r="13" spans="1:25" ht="32.1">
      <c r="A13" s="51">
        <v>2024066829</v>
      </c>
      <c r="B13" s="52" t="s">
        <v>27</v>
      </c>
      <c r="C13" s="53" t="s">
        <v>68</v>
      </c>
      <c r="D13" s="52">
        <v>34</v>
      </c>
      <c r="E13" s="52">
        <v>0</v>
      </c>
      <c r="F13" s="52">
        <v>1</v>
      </c>
      <c r="G13" s="52">
        <v>0</v>
      </c>
      <c r="H13" s="52">
        <v>0</v>
      </c>
      <c r="I13" s="54">
        <f>Tabla14[[#This Row],[ERL]]+Tabla14[[#This Row],[IRL]]</f>
        <v>0</v>
      </c>
      <c r="J13" s="52">
        <v>12</v>
      </c>
      <c r="K13" s="52">
        <f>Tabla14[[#This Row],[LoCode]]/Tabla14[[#This Row],[NoFunctions]]</f>
        <v>34</v>
      </c>
      <c r="L13" s="54">
        <v>0.76</v>
      </c>
      <c r="M13" s="54">
        <f>SUM(Tabla14[[#This Row],[CC]:[IDC]]) - Tabla14[[#This Row],[IRC]]</f>
        <v>46.76</v>
      </c>
      <c r="N13" s="52" t="str">
        <f t="shared" si="0"/>
        <v>Bajo</v>
      </c>
      <c r="O13" s="54">
        <f>1 - ((Tabla14[[#This Row],[TPFM]]- $K$49) / ($K$48 - $K$49))</f>
        <v>0.19999999999999996</v>
      </c>
      <c r="P13" s="54">
        <v>0.04</v>
      </c>
      <c r="Q13" s="54">
        <v>0</v>
      </c>
      <c r="R13" s="54">
        <f>SUM(Tabla14[[#This Row],[IPTFM]:[Comentarios]]) / 3</f>
        <v>7.9999999999999988E-2</v>
      </c>
      <c r="S13" s="52">
        <f>Tabla14[[#This Row],[CC]]/10</f>
        <v>1.2</v>
      </c>
      <c r="T13" s="54">
        <f xml:space="preserve"> (Tabla14[[#This Row],[ICLC]] + (1 - Tabla14[[#This Row],[ICC]])) / 2</f>
        <v>-5.9999999999999984E-2</v>
      </c>
      <c r="U13" s="52" t="str">
        <f t="shared" si="1"/>
        <v>Bajo</v>
      </c>
      <c r="V13" s="52">
        <v>1</v>
      </c>
      <c r="W13" s="52" t="str">
        <f t="shared" si="2"/>
        <v>Alto</v>
      </c>
      <c r="X13" s="52"/>
      <c r="Y13" s="52"/>
    </row>
    <row r="14" spans="1:25">
      <c r="A14" s="2">
        <v>2024070969</v>
      </c>
      <c r="B14" t="s">
        <v>25</v>
      </c>
      <c r="C14" t="s">
        <v>34</v>
      </c>
      <c r="I14" s="17">
        <f>Tabla14[[#This Row],[ERL]]+Tabla14[[#This Row],[IRL]]</f>
        <v>0</v>
      </c>
      <c r="K14" t="e">
        <f>Tabla14[[#This Row],[LoCode]]/Tabla14[[#This Row],[NoFunctions]]</f>
        <v>#DIV/0!</v>
      </c>
      <c r="L14" s="17"/>
      <c r="M14" s="17" t="e">
        <f>SUM(Tabla14[[#This Row],[CC]:[IDC]]) - Tabla14[[#This Row],[IRC]]</f>
        <v>#DIV/0!</v>
      </c>
      <c r="N14" t="e">
        <f t="shared" si="0"/>
        <v>#DIV/0!</v>
      </c>
      <c r="O14" s="17" t="e">
        <f>1 - ((Tabla14[[#This Row],[TPFM]]- $K$49) / ($K$48 - $K$49))</f>
        <v>#DIV/0!</v>
      </c>
      <c r="P14" s="17"/>
      <c r="Q14" s="17"/>
      <c r="R14" s="17" t="e">
        <f>SUM(Tabla14[[#This Row],[IPTFM]:[Comentarios]]) / 3</f>
        <v>#DIV/0!</v>
      </c>
      <c r="S14">
        <f>Tabla14[[#This Row],[CC]]/10</f>
        <v>0</v>
      </c>
      <c r="T14" s="17" t="e">
        <f xml:space="preserve"> (Tabla14[[#This Row],[ICLC]] + (1 - Tabla14[[#This Row],[ICC]])) / 2</f>
        <v>#DIV/0!</v>
      </c>
      <c r="U14" t="e">
        <f t="shared" si="1"/>
        <v>#DIV/0!</v>
      </c>
      <c r="W14" t="str">
        <f t="shared" si="2"/>
        <v>Alto</v>
      </c>
    </row>
    <row r="15" spans="1:25">
      <c r="A15" s="2">
        <v>2024071983</v>
      </c>
      <c r="C15" t="s">
        <v>69</v>
      </c>
      <c r="I15" s="17">
        <f>Tabla14[[#This Row],[ERL]]+Tabla14[[#This Row],[IRL]]</f>
        <v>0</v>
      </c>
      <c r="K15" t="e">
        <f>Tabla14[[#This Row],[LoCode]]/Tabla14[[#This Row],[NoFunctions]]</f>
        <v>#DIV/0!</v>
      </c>
      <c r="L15" s="17"/>
      <c r="M15" s="17" t="e">
        <f>SUM(Tabla14[[#This Row],[CC]:[IDC]]) - Tabla14[[#This Row],[IRC]]</f>
        <v>#DIV/0!</v>
      </c>
      <c r="N15" t="e">
        <f t="shared" si="0"/>
        <v>#DIV/0!</v>
      </c>
      <c r="O15" s="17" t="e">
        <f>1 - ((Tabla14[[#This Row],[TPFM]]- $K$49) / ($K$48 - $K$49))</f>
        <v>#DIV/0!</v>
      </c>
      <c r="P15" s="17"/>
      <c r="Q15" s="17"/>
      <c r="R15" s="17" t="e">
        <f>SUM(Tabla14[[#This Row],[IPTFM]:[Comentarios]]) / 3</f>
        <v>#DIV/0!</v>
      </c>
      <c r="S15">
        <f>Tabla14[[#This Row],[CC]]/10</f>
        <v>0</v>
      </c>
      <c r="T15" s="17" t="e">
        <f xml:space="preserve"> (Tabla14[[#This Row],[ICLC]] + (1 - Tabla14[[#This Row],[ICC]])) / 2</f>
        <v>#DIV/0!</v>
      </c>
      <c r="U15" t="e">
        <f t="shared" si="1"/>
        <v>#DIV/0!</v>
      </c>
      <c r="W15" t="str">
        <f t="shared" si="2"/>
        <v>Alto</v>
      </c>
    </row>
    <row r="16" spans="1:25" ht="32.1">
      <c r="A16" s="6">
        <v>2024082949</v>
      </c>
      <c r="B16" s="7" t="s">
        <v>29</v>
      </c>
      <c r="C16" s="8" t="s">
        <v>70</v>
      </c>
      <c r="D16" s="7">
        <v>25</v>
      </c>
      <c r="E16" s="7">
        <v>2</v>
      </c>
      <c r="F16" s="7">
        <v>3</v>
      </c>
      <c r="G16" s="7">
        <v>0</v>
      </c>
      <c r="H16" s="7">
        <v>0</v>
      </c>
      <c r="I16" s="19">
        <f>Tabla14[[#This Row],[ERL]]+Tabla14[[#This Row],[IRL]]</f>
        <v>0</v>
      </c>
      <c r="J16" s="7">
        <v>3.66</v>
      </c>
      <c r="K16" s="7">
        <f>Tabla14[[#This Row],[LoCode]]/Tabla14[[#This Row],[NoFunctions]]</f>
        <v>8.3333333333333339</v>
      </c>
      <c r="L16" s="19">
        <v>0.2</v>
      </c>
      <c r="M16" s="19">
        <f>SUM(Tabla14[[#This Row],[CC]:[IDC]]) - Tabla14[[#This Row],[IRC]]</f>
        <v>12.193333333333333</v>
      </c>
      <c r="N16" s="7" t="str">
        <f t="shared" si="0"/>
        <v>Alto</v>
      </c>
      <c r="O16" s="19">
        <f>1 - ((Tabla14[[#This Row],[TPFM]]- $K$49) / ($K$48 - $K$49))</f>
        <v>0.93333333333333335</v>
      </c>
      <c r="P16" s="19">
        <v>0.17</v>
      </c>
      <c r="Q16" s="19">
        <v>0.08</v>
      </c>
      <c r="R16" s="19">
        <f>SUM(Tabla14[[#This Row],[IPTFM]:[Comentarios]]) / 3</f>
        <v>0.39444444444444443</v>
      </c>
      <c r="S16" s="7">
        <f>Tabla14[[#This Row],[CC]]/10</f>
        <v>0.36599999999999999</v>
      </c>
      <c r="T16" s="19">
        <f xml:space="preserve"> (Tabla14[[#This Row],[ICLC]] + (1 - Tabla14[[#This Row],[ICC]])) / 2</f>
        <v>0.51422222222222225</v>
      </c>
      <c r="U16" s="7" t="str">
        <f t="shared" si="1"/>
        <v>Alto</v>
      </c>
      <c r="V16" s="7">
        <v>1</v>
      </c>
      <c r="W16" s="7" t="str">
        <f t="shared" si="2"/>
        <v>Alto</v>
      </c>
      <c r="X16" s="7"/>
      <c r="Y16" s="7"/>
    </row>
    <row r="17" spans="1:25" ht="32.1">
      <c r="A17" s="60">
        <v>2024090884</v>
      </c>
      <c r="B17" s="61" t="s">
        <v>29</v>
      </c>
      <c r="C17" s="73" t="s">
        <v>70</v>
      </c>
      <c r="D17" s="61">
        <v>18</v>
      </c>
      <c r="E17" s="61">
        <v>0</v>
      </c>
      <c r="F17" s="61">
        <v>2</v>
      </c>
      <c r="G17" s="61">
        <v>0</v>
      </c>
      <c r="H17" s="61">
        <v>0</v>
      </c>
      <c r="I17" s="62">
        <f>Tabla14[[#This Row],[ERL]]+Tabla14[[#This Row],[IRL]]</f>
        <v>0</v>
      </c>
      <c r="J17" s="61">
        <v>3.5</v>
      </c>
      <c r="K17" s="61">
        <f>Tabla14[[#This Row],[LoCode]]/Tabla14[[#This Row],[NoFunctions]]</f>
        <v>9</v>
      </c>
      <c r="L17" s="62">
        <v>0.28000000000000003</v>
      </c>
      <c r="M17" s="62">
        <f>SUM(Tabla14[[#This Row],[CC]:[IDC]]) - Tabla14[[#This Row],[IRC]]</f>
        <v>12.78</v>
      </c>
      <c r="N17" s="61" t="str">
        <f t="shared" si="0"/>
        <v>Alto</v>
      </c>
      <c r="O17" s="62">
        <f>1 - ((Tabla14[[#This Row],[TPFM]]- $K$49) / ($K$48 - $K$49))</f>
        <v>0.91428571428571426</v>
      </c>
      <c r="P17" s="62">
        <v>0.09</v>
      </c>
      <c r="Q17" s="62">
        <v>0</v>
      </c>
      <c r="R17" s="62">
        <f>SUM(Tabla14[[#This Row],[IPTFM]:[Comentarios]]) / 3</f>
        <v>0.33476190476190476</v>
      </c>
      <c r="S17" s="61">
        <f>Tabla14[[#This Row],[CC]]/10</f>
        <v>0.35</v>
      </c>
      <c r="T17" s="62">
        <f xml:space="preserve"> (Tabla14[[#This Row],[ICLC]] + (1 - Tabla14[[#This Row],[ICC]])) / 2</f>
        <v>0.49238095238095236</v>
      </c>
      <c r="U17" s="61" t="str">
        <f t="shared" si="1"/>
        <v>Alto</v>
      </c>
      <c r="V17" s="61">
        <v>1</v>
      </c>
      <c r="W17" s="61" t="str">
        <f t="shared" si="2"/>
        <v>Alto</v>
      </c>
      <c r="X17" s="61"/>
      <c r="Y17" s="61"/>
    </row>
    <row r="18" spans="1:25">
      <c r="A18" s="2">
        <v>2024093410</v>
      </c>
      <c r="B18" t="s">
        <v>25</v>
      </c>
      <c r="C18" t="s">
        <v>71</v>
      </c>
      <c r="I18" s="17">
        <f>Tabla14[[#This Row],[ERL]]+Tabla14[[#This Row],[IRL]]</f>
        <v>0</v>
      </c>
      <c r="K18" t="e">
        <f>Tabla14[[#This Row],[LoCode]]/Tabla14[[#This Row],[NoFunctions]]</f>
        <v>#DIV/0!</v>
      </c>
      <c r="L18" s="17"/>
      <c r="M18" s="17" t="e">
        <f>SUM(Tabla14[[#This Row],[CC]:[IDC]]) - Tabla14[[#This Row],[IRC]]</f>
        <v>#DIV/0!</v>
      </c>
      <c r="N18" t="e">
        <f t="shared" si="0"/>
        <v>#DIV/0!</v>
      </c>
      <c r="O18" s="17" t="e">
        <f>1 - ((Tabla14[[#This Row],[TPFM]]- $K$49) / ($K$48 - $K$49))</f>
        <v>#DIV/0!</v>
      </c>
      <c r="P18" s="17"/>
      <c r="Q18" s="17"/>
      <c r="R18" s="17" t="e">
        <f>SUM(Tabla14[[#This Row],[IPTFM]:[Comentarios]]) / 3</f>
        <v>#DIV/0!</v>
      </c>
      <c r="S18">
        <f>Tabla14[[#This Row],[CC]]/10</f>
        <v>0</v>
      </c>
      <c r="T18" s="17" t="e">
        <f xml:space="preserve"> (Tabla14[[#This Row],[ICLC]] + (1 - Tabla14[[#This Row],[ICC]])) / 2</f>
        <v>#DIV/0!</v>
      </c>
      <c r="U18" t="e">
        <f t="shared" si="1"/>
        <v>#DIV/0!</v>
      </c>
      <c r="W18" t="str">
        <f t="shared" si="2"/>
        <v>Alto</v>
      </c>
    </row>
    <row r="19" spans="1:25">
      <c r="A19" s="2">
        <v>2024096731</v>
      </c>
      <c r="B19" t="s">
        <v>25</v>
      </c>
      <c r="C19" t="s">
        <v>72</v>
      </c>
      <c r="I19" s="17">
        <f>Tabla14[[#This Row],[ERL]]+Tabla14[[#This Row],[IRL]]</f>
        <v>0</v>
      </c>
      <c r="K19" t="e">
        <f>Tabla14[[#This Row],[LoCode]]/Tabla14[[#This Row],[NoFunctions]]</f>
        <v>#DIV/0!</v>
      </c>
      <c r="L19" s="17"/>
      <c r="M19" s="17" t="e">
        <f>SUM(Tabla14[[#This Row],[CC]:[IDC]]) - Tabla14[[#This Row],[IRC]]</f>
        <v>#DIV/0!</v>
      </c>
      <c r="N19" t="e">
        <f t="shared" si="0"/>
        <v>#DIV/0!</v>
      </c>
      <c r="O19" s="17" t="e">
        <f>1 - ((Tabla14[[#This Row],[TPFM]]- $K$49) / ($K$48 - $K$49))</f>
        <v>#DIV/0!</v>
      </c>
      <c r="P19" s="17"/>
      <c r="Q19" s="17"/>
      <c r="R19" s="17" t="e">
        <f>SUM(Tabla14[[#This Row],[IPTFM]:[Comentarios]]) / 3</f>
        <v>#DIV/0!</v>
      </c>
      <c r="S19">
        <f>Tabla14[[#This Row],[CC]]/10</f>
        <v>0</v>
      </c>
      <c r="T19" s="17" t="e">
        <f xml:space="preserve"> (Tabla14[[#This Row],[ICLC]] + (1 - Tabla14[[#This Row],[ICC]])) / 2</f>
        <v>#DIV/0!</v>
      </c>
      <c r="U19" t="e">
        <f t="shared" si="1"/>
        <v>#DIV/0!</v>
      </c>
      <c r="W19" t="str">
        <f t="shared" si="2"/>
        <v>Alto</v>
      </c>
    </row>
    <row r="20" spans="1:25">
      <c r="A20" s="2">
        <v>2024099007</v>
      </c>
      <c r="B20" t="s">
        <v>25</v>
      </c>
      <c r="C20" t="s">
        <v>73</v>
      </c>
      <c r="I20" s="17">
        <f>Tabla14[[#This Row],[ERL]]+Tabla14[[#This Row],[IRL]]</f>
        <v>0</v>
      </c>
      <c r="K20" t="e">
        <f>Tabla14[[#This Row],[LoCode]]/Tabla14[[#This Row],[NoFunctions]]</f>
        <v>#DIV/0!</v>
      </c>
      <c r="L20" s="17"/>
      <c r="M20" s="17" t="e">
        <f>SUM(Tabla14[[#This Row],[CC]:[IDC]]) - Tabla14[[#This Row],[IRC]]</f>
        <v>#DIV/0!</v>
      </c>
      <c r="N20" t="e">
        <f t="shared" si="0"/>
        <v>#DIV/0!</v>
      </c>
      <c r="O20" s="17" t="e">
        <f>1 - ((Tabla14[[#This Row],[TPFM]]- $K$49) / ($K$48 - $K$49))</f>
        <v>#DIV/0!</v>
      </c>
      <c r="P20" s="17"/>
      <c r="Q20" s="17"/>
      <c r="R20" s="17" t="e">
        <f>SUM(Tabla14[[#This Row],[IPTFM]:[Comentarios]]) / 3</f>
        <v>#DIV/0!</v>
      </c>
      <c r="S20">
        <f>Tabla14[[#This Row],[CC]]/10</f>
        <v>0</v>
      </c>
      <c r="T20" s="17" t="e">
        <f xml:space="preserve"> (Tabla14[[#This Row],[ICLC]] + (1 - Tabla14[[#This Row],[ICC]])) / 2</f>
        <v>#DIV/0!</v>
      </c>
      <c r="U20" t="e">
        <f t="shared" si="1"/>
        <v>#DIV/0!</v>
      </c>
      <c r="W20" t="str">
        <f t="shared" si="2"/>
        <v>Alto</v>
      </c>
    </row>
    <row r="21" spans="1:25">
      <c r="A21" s="56">
        <v>2024109692</v>
      </c>
      <c r="B21" s="57" t="s">
        <v>25</v>
      </c>
      <c r="C21" s="57" t="s">
        <v>26</v>
      </c>
      <c r="D21" s="57"/>
      <c r="E21" s="57"/>
      <c r="F21" s="57"/>
      <c r="G21" s="57"/>
      <c r="H21" s="57"/>
      <c r="I21" s="59">
        <f>Tabla14[[#This Row],[ERL]]+Tabla14[[#This Row],[IRL]]</f>
        <v>0</v>
      </c>
      <c r="J21" s="57"/>
      <c r="K21" s="57" t="e">
        <f>Tabla14[[#This Row],[LoCode]]/Tabla14[[#This Row],[NoFunctions]]</f>
        <v>#DIV/0!</v>
      </c>
      <c r="L21" s="59"/>
      <c r="M21" s="59" t="e">
        <f>SUM(Tabla14[[#This Row],[CC]:[IDC]]) - Tabla14[[#This Row],[IRC]]</f>
        <v>#DIV/0!</v>
      </c>
      <c r="N21" s="57" t="e">
        <f t="shared" si="0"/>
        <v>#DIV/0!</v>
      </c>
      <c r="O21" s="59" t="e">
        <f>1 - ((Tabla14[[#This Row],[TPFM]]- $K$49) / ($K$48 - $K$49))</f>
        <v>#DIV/0!</v>
      </c>
      <c r="P21" s="59"/>
      <c r="Q21" s="59"/>
      <c r="R21" s="59" t="e">
        <f>SUM(Tabla14[[#This Row],[IPTFM]:[Comentarios]]) / 3</f>
        <v>#DIV/0!</v>
      </c>
      <c r="S21" s="57">
        <v>0</v>
      </c>
      <c r="T21" s="59" t="e">
        <f xml:space="preserve"> (Tabla14[[#This Row],[ICLC]] + (1 - Tabla14[[#This Row],[ICC]])) / 2</f>
        <v>#DIV/0!</v>
      </c>
      <c r="U21" s="57" t="e">
        <f t="shared" si="1"/>
        <v>#DIV/0!</v>
      </c>
      <c r="V21" s="57"/>
      <c r="W21" s="57" t="str">
        <f t="shared" si="2"/>
        <v>Alto</v>
      </c>
      <c r="X21" s="57"/>
      <c r="Y21" s="57"/>
    </row>
    <row r="22" spans="1:25">
      <c r="A22" s="51">
        <v>2024112230</v>
      </c>
      <c r="B22" s="52" t="s">
        <v>25</v>
      </c>
      <c r="C22" s="52" t="s">
        <v>26</v>
      </c>
      <c r="D22" s="52">
        <v>21</v>
      </c>
      <c r="E22" s="52">
        <v>0</v>
      </c>
      <c r="F22" s="52">
        <v>1</v>
      </c>
      <c r="G22" s="52">
        <v>0</v>
      </c>
      <c r="H22" s="52">
        <v>0</v>
      </c>
      <c r="I22" s="54">
        <f>Tabla14[[#This Row],[ERL]]+Tabla14[[#This Row],[IRL]]</f>
        <v>0</v>
      </c>
      <c r="J22" s="52">
        <v>5</v>
      </c>
      <c r="K22" s="52">
        <f>Tabla14[[#This Row],[LoCode]]/Tabla14[[#This Row],[NoFunctions]]</f>
        <v>21</v>
      </c>
      <c r="L22" s="54">
        <v>0.43</v>
      </c>
      <c r="M22" s="54">
        <f>SUM(Tabla14[[#This Row],[CC]:[IDC]]) - Tabla14[[#This Row],[IRC]]</f>
        <v>26.43</v>
      </c>
      <c r="N22" s="52" t="str">
        <f t="shared" si="0"/>
        <v>Medio</v>
      </c>
      <c r="O22" s="54">
        <f>1 - ((Tabla14[[#This Row],[TPFM]]- $K$49) / ($K$48 - $K$49))</f>
        <v>0.5714285714285714</v>
      </c>
      <c r="P22" s="54">
        <v>0.1</v>
      </c>
      <c r="Q22" s="54">
        <v>0</v>
      </c>
      <c r="R22" s="54">
        <f>SUM(Tabla14[[#This Row],[IPTFM]:[Comentarios]]) / 3</f>
        <v>0.22380952380952379</v>
      </c>
      <c r="S22" s="52">
        <f>Tabla14[[#This Row],[CC]]/10</f>
        <v>0.5</v>
      </c>
      <c r="T22" s="54">
        <f xml:space="preserve"> (Tabla14[[#This Row],[ICLC]] + (1 - Tabla14[[#This Row],[ICC]])) / 2</f>
        <v>0.3619047619047619</v>
      </c>
      <c r="U22" s="52" t="str">
        <f t="shared" si="1"/>
        <v>Medio</v>
      </c>
      <c r="V22" s="52">
        <v>1</v>
      </c>
      <c r="W22" s="52" t="str">
        <f t="shared" si="2"/>
        <v>Alto</v>
      </c>
      <c r="X22" s="52"/>
      <c r="Y22" s="52"/>
    </row>
    <row r="23" spans="1:25" ht="15.95">
      <c r="A23" s="43">
        <v>2024114502</v>
      </c>
      <c r="B23" s="44" t="s">
        <v>27</v>
      </c>
      <c r="C23" s="75" t="s">
        <v>74</v>
      </c>
      <c r="D23" s="44">
        <v>32</v>
      </c>
      <c r="E23" s="44">
        <v>2</v>
      </c>
      <c r="F23" s="44">
        <v>2</v>
      </c>
      <c r="G23" s="44">
        <v>0</v>
      </c>
      <c r="H23" s="44">
        <v>0</v>
      </c>
      <c r="I23" s="45">
        <f>Tabla14[[#This Row],[ERL]]+Tabla14[[#This Row],[IRL]]</f>
        <v>0</v>
      </c>
      <c r="J23" s="44">
        <v>6.5</v>
      </c>
      <c r="K23" s="44">
        <f>Tabla14[[#This Row],[LoCode]]/Tabla14[[#This Row],[NoFunctions]]</f>
        <v>16</v>
      </c>
      <c r="L23" s="45">
        <v>0.69</v>
      </c>
      <c r="M23" s="45">
        <f>SUM(Tabla14[[#This Row],[CC]:[IDC]]) - Tabla14[[#This Row],[IRC]]</f>
        <v>23.19</v>
      </c>
      <c r="N23" s="44" t="str">
        <f t="shared" si="0"/>
        <v>Medio</v>
      </c>
      <c r="O23" s="45">
        <f>1 - ((Tabla14[[#This Row],[TPFM]]- $K$49) / ($K$48 - $K$49))</f>
        <v>0.7142857142857143</v>
      </c>
      <c r="P23" s="45">
        <v>0.09</v>
      </c>
      <c r="Q23" s="45">
        <v>7.0000000000000007E-2</v>
      </c>
      <c r="R23" s="45">
        <f>SUM(Tabla14[[#This Row],[IPTFM]:[Comentarios]]) / 3</f>
        <v>0.29142857142857143</v>
      </c>
      <c r="S23" s="44">
        <f>Tabla14[[#This Row],[CC]]/10</f>
        <v>0.65</v>
      </c>
      <c r="T23" s="45">
        <f xml:space="preserve"> (Tabla14[[#This Row],[ICLC]] + (1 - Tabla14[[#This Row],[ICC]])) / 2</f>
        <v>0.32071428571428573</v>
      </c>
      <c r="U23" s="44" t="str">
        <f t="shared" si="1"/>
        <v>Medio</v>
      </c>
      <c r="V23" s="44">
        <v>0.87</v>
      </c>
      <c r="W23" s="44" t="str">
        <f t="shared" si="2"/>
        <v>Alto</v>
      </c>
      <c r="X23" s="44"/>
      <c r="Y23" s="44"/>
    </row>
    <row r="24" spans="1:25" s="5" customFormat="1" ht="15.95">
      <c r="A24" s="63">
        <v>2024132538</v>
      </c>
      <c r="B24" s="64" t="s">
        <v>25</v>
      </c>
      <c r="C24" s="65" t="s">
        <v>75</v>
      </c>
      <c r="D24" s="64">
        <v>6</v>
      </c>
      <c r="E24" s="64">
        <v>0</v>
      </c>
      <c r="F24" s="64">
        <v>1</v>
      </c>
      <c r="G24" s="64">
        <v>0</v>
      </c>
      <c r="H24" s="66">
        <v>0</v>
      </c>
      <c r="I24" s="66">
        <f>Tabla14[[#This Row],[ERL]]+Tabla14[[#This Row],[IRL]]</f>
        <v>0</v>
      </c>
      <c r="J24" s="66">
        <v>3</v>
      </c>
      <c r="K24" s="66">
        <f>Tabla14[[#This Row],[LoCode]]/Tabla14[[#This Row],[NoFunctions]]</f>
        <v>6</v>
      </c>
      <c r="L24" s="66">
        <v>0.17</v>
      </c>
      <c r="M24" s="66">
        <f>SUM(Tabla14[[#This Row],[CC]:[IDC]]) - Tabla14[[#This Row],[IRC]]</f>
        <v>9.17</v>
      </c>
      <c r="N24" s="64" t="str">
        <f t="shared" si="0"/>
        <v>Alto</v>
      </c>
      <c r="O24" s="66">
        <f>1 - ((Tabla14[[#This Row],[TPFM]]- $K$49) / ($K$48 - $K$49))</f>
        <v>1</v>
      </c>
      <c r="P24" s="66">
        <v>0.05</v>
      </c>
      <c r="Q24" s="66">
        <v>0</v>
      </c>
      <c r="R24" s="66">
        <f>SUM(Tabla14[[#This Row],[IPTFM]:[Comentarios]]) / 3</f>
        <v>0.35000000000000003</v>
      </c>
      <c r="S24" s="64">
        <f>Tabla14[[#This Row],[CC]]/10</f>
        <v>0.3</v>
      </c>
      <c r="T24" s="66">
        <f xml:space="preserve"> (Tabla14[[#This Row],[ICLC]] + (1 - Tabla14[[#This Row],[ICC]])) / 2</f>
        <v>0.52500000000000002</v>
      </c>
      <c r="U24" s="64" t="str">
        <f t="shared" si="1"/>
        <v>Alto</v>
      </c>
      <c r="V24" s="64">
        <v>1</v>
      </c>
      <c r="W24" s="64" t="str">
        <f t="shared" si="2"/>
        <v>Alto</v>
      </c>
      <c r="X24" s="64"/>
      <c r="Y24" s="64"/>
    </row>
    <row r="25" spans="1:25">
      <c r="A25" s="2">
        <v>2024136072</v>
      </c>
      <c r="B25" t="s">
        <v>25</v>
      </c>
      <c r="C25" t="s">
        <v>76</v>
      </c>
      <c r="I25" s="17">
        <f>Tabla14[[#This Row],[ERL]]+Tabla14[[#This Row],[IRL]]</f>
        <v>0</v>
      </c>
      <c r="K25" t="e">
        <f>Tabla14[[#This Row],[LoCode]]/Tabla14[[#This Row],[NoFunctions]]</f>
        <v>#DIV/0!</v>
      </c>
      <c r="L25" s="17"/>
      <c r="M25" s="17" t="e">
        <f>SUM(Tabla14[[#This Row],[CC]:[IDC]]) - Tabla14[[#This Row],[IRC]]</f>
        <v>#DIV/0!</v>
      </c>
      <c r="N25" t="e">
        <f t="shared" si="0"/>
        <v>#DIV/0!</v>
      </c>
      <c r="O25" s="17" t="e">
        <f>1 - ((Tabla14[[#This Row],[TPFM]]- $K$49) / ($K$48 - $K$49))</f>
        <v>#DIV/0!</v>
      </c>
      <c r="P25" s="17"/>
      <c r="Q25" s="17"/>
      <c r="R25" s="17" t="e">
        <f>SUM(Tabla14[[#This Row],[IPTFM]:[Comentarios]]) / 3</f>
        <v>#DIV/0!</v>
      </c>
      <c r="S25">
        <f>Tabla14[[#This Row],[CC]]/10</f>
        <v>0</v>
      </c>
      <c r="T25" s="17" t="e">
        <f xml:space="preserve"> (Tabla14[[#This Row],[ICLC]] + (1 - Tabla14[[#This Row],[ICC]])) / 2</f>
        <v>#DIV/0!</v>
      </c>
      <c r="U25" t="e">
        <f t="shared" si="1"/>
        <v>#DIV/0!</v>
      </c>
      <c r="W25" t="str">
        <f t="shared" si="2"/>
        <v>Alto</v>
      </c>
    </row>
    <row r="26" spans="1:25">
      <c r="A26" s="2">
        <v>2024138712</v>
      </c>
      <c r="B26" t="s">
        <v>25</v>
      </c>
      <c r="C26" t="s">
        <v>76</v>
      </c>
      <c r="I26" s="17">
        <f>Tabla14[[#This Row],[ERL]]+Tabla14[[#This Row],[IRL]]</f>
        <v>0</v>
      </c>
      <c r="K26" t="e">
        <f>Tabla14[[#This Row],[LoCode]]/Tabla14[[#This Row],[NoFunctions]]</f>
        <v>#DIV/0!</v>
      </c>
      <c r="L26" s="17"/>
      <c r="M26" s="17" t="e">
        <f>SUM(Tabla14[[#This Row],[CC]:[IDC]]) - Tabla14[[#This Row],[IRC]]</f>
        <v>#DIV/0!</v>
      </c>
      <c r="N26" t="e">
        <f t="shared" si="0"/>
        <v>#DIV/0!</v>
      </c>
      <c r="O26" s="17" t="e">
        <f>1 - ((Tabla14[[#This Row],[TPFM]]- $K$49) / ($K$48 - $K$49))</f>
        <v>#DIV/0!</v>
      </c>
      <c r="P26" s="17"/>
      <c r="Q26" s="17"/>
      <c r="R26" s="17" t="e">
        <f>SUM(Tabla14[[#This Row],[IPTFM]:[Comentarios]]) / 3</f>
        <v>#DIV/0!</v>
      </c>
      <c r="S26">
        <f>Tabla14[[#This Row],[CC]]/10</f>
        <v>0</v>
      </c>
      <c r="T26" s="17" t="e">
        <f xml:space="preserve"> (Tabla14[[#This Row],[ICLC]] + (1 - Tabla14[[#This Row],[ICC]])) / 2</f>
        <v>#DIV/0!</v>
      </c>
      <c r="U26" t="e">
        <f t="shared" si="1"/>
        <v>#DIV/0!</v>
      </c>
      <c r="W26" t="str">
        <f t="shared" si="2"/>
        <v>Alto</v>
      </c>
    </row>
    <row r="27" spans="1:25" ht="32.1">
      <c r="A27" s="55">
        <v>2024140841</v>
      </c>
      <c r="B27" s="38" t="s">
        <v>25</v>
      </c>
      <c r="C27" s="74" t="s">
        <v>77</v>
      </c>
      <c r="D27" s="38">
        <v>51</v>
      </c>
      <c r="E27" s="38">
        <v>15</v>
      </c>
      <c r="F27" s="38">
        <v>2</v>
      </c>
      <c r="G27" s="38">
        <v>0</v>
      </c>
      <c r="H27" s="38">
        <v>0</v>
      </c>
      <c r="I27" s="39">
        <f>Tabla14[[#This Row],[ERL]]+Tabla14[[#This Row],[IRL]]</f>
        <v>0</v>
      </c>
      <c r="J27" s="38">
        <v>7</v>
      </c>
      <c r="K27" s="38">
        <f>Tabla14[[#This Row],[LoCode]]/Tabla14[[#This Row],[NoFunctions]]</f>
        <v>25.5</v>
      </c>
      <c r="L27" s="39">
        <v>0.24</v>
      </c>
      <c r="M27" s="39">
        <f>SUM(Tabla14[[#This Row],[CC]:[IDC]]) - Tabla14[[#This Row],[IRC]]</f>
        <v>32.74</v>
      </c>
      <c r="N27" s="38" t="str">
        <f t="shared" si="0"/>
        <v>Medio</v>
      </c>
      <c r="O27" s="39">
        <f>1 - ((Tabla14[[#This Row],[TPFM]]- $K$49) / ($K$48 - $K$49))</f>
        <v>0.44285714285714284</v>
      </c>
      <c r="P27" s="39">
        <v>7.0000000000000007E-2</v>
      </c>
      <c r="Q27" s="39">
        <v>7.0000000000000007E-2</v>
      </c>
      <c r="R27" s="39">
        <f>SUM(Tabla14[[#This Row],[IPTFM]:[Comentarios]]) / 3</f>
        <v>0.19428571428571431</v>
      </c>
      <c r="S27" s="38">
        <f>Tabla14[[#This Row],[CC]]/10</f>
        <v>0.7</v>
      </c>
      <c r="T27" s="39">
        <f xml:space="preserve"> (Tabla14[[#This Row],[ICLC]] + (1 - Tabla14[[#This Row],[ICC]])) / 2</f>
        <v>0.24714285714285716</v>
      </c>
      <c r="U27" s="38" t="str">
        <f t="shared" si="1"/>
        <v>Medio</v>
      </c>
      <c r="V27" s="38">
        <v>0.93</v>
      </c>
      <c r="W27" s="38" t="str">
        <f t="shared" si="2"/>
        <v>Alto</v>
      </c>
      <c r="X27" s="38"/>
      <c r="Y27" s="38"/>
    </row>
    <row r="28" spans="1:25" s="10" customFormat="1" ht="15.95">
      <c r="A28" s="9">
        <v>2024145117</v>
      </c>
      <c r="B28" s="10" t="s">
        <v>27</v>
      </c>
      <c r="C28" s="11" t="s">
        <v>61</v>
      </c>
      <c r="D28" s="10">
        <v>32</v>
      </c>
      <c r="E28" s="10">
        <v>0</v>
      </c>
      <c r="F28" s="10">
        <v>1</v>
      </c>
      <c r="G28" s="10">
        <v>0</v>
      </c>
      <c r="H28" s="10">
        <v>0</v>
      </c>
      <c r="I28" s="18">
        <f>Tabla14[[#This Row],[ERL]]+Tabla14[[#This Row],[IRL]]</f>
        <v>0</v>
      </c>
      <c r="J28" s="10">
        <v>12</v>
      </c>
      <c r="K28" s="10">
        <f>Tabla14[[#This Row],[LoCode]]/Tabla14[[#This Row],[NoFunctions]]</f>
        <v>32</v>
      </c>
      <c r="L28" s="18">
        <v>0.4</v>
      </c>
      <c r="M28" s="18">
        <f>SUM(Tabla14[[#This Row],[CC]:[IDC]]) - Tabla14[[#This Row],[IRC]]</f>
        <v>44.4</v>
      </c>
      <c r="N28" s="10" t="str">
        <f t="shared" si="0"/>
        <v>Bajo</v>
      </c>
      <c r="O28" s="18">
        <f>1 - ((Tabla14[[#This Row],[TPFM]]- $K$49) / ($K$48 - $K$49))</f>
        <v>0.25714285714285712</v>
      </c>
      <c r="P28" s="18">
        <v>4.3478260869565202E-2</v>
      </c>
      <c r="Q28" s="18">
        <v>0</v>
      </c>
      <c r="R28" s="18">
        <f>SUM(Tabla14[[#This Row],[IPTFM]:[Comentarios]]) / 3</f>
        <v>0.1002070393374741</v>
      </c>
      <c r="S28" s="10">
        <f>Tabla14[[#This Row],[CC]]/10</f>
        <v>1.2</v>
      </c>
      <c r="T28" s="18">
        <f xml:space="preserve"> (Tabla14[[#This Row],[ICLC]] + (1 - Tabla14[[#This Row],[ICC]])) / 2</f>
        <v>-4.9896480331262927E-2</v>
      </c>
      <c r="U28" s="10" t="str">
        <f t="shared" si="1"/>
        <v>Bajo</v>
      </c>
      <c r="V28" s="10">
        <v>1</v>
      </c>
      <c r="W28" s="10" t="str">
        <f t="shared" si="2"/>
        <v>Alto</v>
      </c>
    </row>
    <row r="29" spans="1:25">
      <c r="A29" s="2">
        <v>2024145153</v>
      </c>
      <c r="B29" t="s">
        <v>25</v>
      </c>
      <c r="C29" t="s">
        <v>78</v>
      </c>
      <c r="I29" s="17">
        <f>Tabla14[[#This Row],[ERL]]+Tabla14[[#This Row],[IRL]]</f>
        <v>0</v>
      </c>
      <c r="K29" t="e">
        <f>Tabla14[[#This Row],[LoCode]]/Tabla14[[#This Row],[NoFunctions]]</f>
        <v>#DIV/0!</v>
      </c>
      <c r="L29" s="17"/>
      <c r="M29" s="17" t="e">
        <f>SUM(Tabla14[[#This Row],[CC]:[IDC]]) - Tabla14[[#This Row],[IRC]]</f>
        <v>#DIV/0!</v>
      </c>
      <c r="N29" t="e">
        <f t="shared" si="0"/>
        <v>#DIV/0!</v>
      </c>
      <c r="O29" s="17" t="e">
        <f>1 - ((Tabla14[[#This Row],[TPFM]]- $K$49) / ($K$48 - $K$49))</f>
        <v>#DIV/0!</v>
      </c>
      <c r="P29" s="17"/>
      <c r="Q29" s="17"/>
      <c r="R29" s="17" t="e">
        <f>SUM(Tabla14[[#This Row],[IPTFM]:[Comentarios]]) / 3</f>
        <v>#DIV/0!</v>
      </c>
      <c r="S29">
        <f>Tabla14[[#This Row],[CC]]/10</f>
        <v>0</v>
      </c>
      <c r="T29" s="17" t="e">
        <f xml:space="preserve"> (Tabla14[[#This Row],[ICLC]] + (1 - Tabla14[[#This Row],[ICC]])) / 2</f>
        <v>#DIV/0!</v>
      </c>
      <c r="U29" t="e">
        <f t="shared" si="1"/>
        <v>#DIV/0!</v>
      </c>
      <c r="W29" t="str">
        <f t="shared" si="2"/>
        <v>Alto</v>
      </c>
    </row>
    <row r="30" spans="1:25">
      <c r="A30" s="43">
        <v>2024163735</v>
      </c>
      <c r="B30" s="44" t="s">
        <v>27</v>
      </c>
      <c r="C30" s="44" t="s">
        <v>74</v>
      </c>
      <c r="D30" s="44">
        <v>31</v>
      </c>
      <c r="E30" s="44">
        <v>1</v>
      </c>
      <c r="F30" s="44">
        <v>1</v>
      </c>
      <c r="G30" s="44">
        <v>0</v>
      </c>
      <c r="H30" s="44">
        <v>0</v>
      </c>
      <c r="I30" s="45">
        <f>Tabla14[[#This Row],[ERL]]+Tabla14[[#This Row],[IRL]]</f>
        <v>0</v>
      </c>
      <c r="J30" s="44">
        <v>12</v>
      </c>
      <c r="K30" s="44">
        <f>Tabla14[[#This Row],[LoCode]]/Tabla14[[#This Row],[NoFunctions]]</f>
        <v>31</v>
      </c>
      <c r="L30" s="45">
        <v>0.47</v>
      </c>
      <c r="M30" s="45">
        <f>SUM(Tabla14[[#This Row],[CC]:[IDC]]) - Tabla14[[#This Row],[IRC]]</f>
        <v>43.47</v>
      </c>
      <c r="N30" s="44" t="str">
        <f t="shared" si="0"/>
        <v>Bajo</v>
      </c>
      <c r="O30" s="45">
        <f>1 - ((Tabla14[[#This Row],[TPFM]]- $K$49) / ($K$48 - $K$49))</f>
        <v>0.2857142857142857</v>
      </c>
      <c r="P30" s="45">
        <v>0.04</v>
      </c>
      <c r="Q30" s="45">
        <v>7.0000000000000007E-2</v>
      </c>
      <c r="R30" s="45">
        <f>SUM(Tabla14[[#This Row],[IPTFM]:[Comentarios]]) / 3</f>
        <v>0.13190476190476189</v>
      </c>
      <c r="S30" s="44">
        <f>Tabla14[[#This Row],[CC]]/10</f>
        <v>1.2</v>
      </c>
      <c r="T30" s="45">
        <f xml:space="preserve"> (Tabla14[[#This Row],[ICLC]] + (1 - Tabla14[[#This Row],[ICC]])) / 2</f>
        <v>-3.4047619047619035E-2</v>
      </c>
      <c r="U30" s="44" t="str">
        <f t="shared" si="1"/>
        <v>Medio</v>
      </c>
      <c r="V30" s="44">
        <v>1</v>
      </c>
      <c r="W30" s="44" t="str">
        <f t="shared" si="2"/>
        <v>Alto</v>
      </c>
      <c r="X30" s="44"/>
      <c r="Y30" s="44"/>
    </row>
    <row r="31" spans="1:25">
      <c r="A31" s="2">
        <v>2024178193</v>
      </c>
      <c r="B31" t="s">
        <v>25</v>
      </c>
      <c r="C31" t="s">
        <v>79</v>
      </c>
      <c r="I31" s="17">
        <f>Tabla14[[#This Row],[ERL]]+Tabla14[[#This Row],[IRL]]</f>
        <v>0</v>
      </c>
      <c r="K31" t="e">
        <f>Tabla14[[#This Row],[LoCode]]/Tabla14[[#This Row],[NoFunctions]]</f>
        <v>#DIV/0!</v>
      </c>
      <c r="L31" s="17"/>
      <c r="M31" s="17" t="e">
        <f>SUM(Tabla14[[#This Row],[CC]:[IDC]]) - Tabla14[[#This Row],[IRC]]</f>
        <v>#DIV/0!</v>
      </c>
      <c r="N31" t="e">
        <f t="shared" si="0"/>
        <v>#DIV/0!</v>
      </c>
      <c r="O31" s="17" t="e">
        <f>1 - ((Tabla14[[#This Row],[TPFM]]- $K$49) / ($K$48 - $K$49))</f>
        <v>#DIV/0!</v>
      </c>
      <c r="P31" s="17"/>
      <c r="Q31" s="17"/>
      <c r="R31" s="17" t="e">
        <f>SUM(Tabla14[[#This Row],[IPTFM]:[Comentarios]]) / 3</f>
        <v>#DIV/0!</v>
      </c>
      <c r="S31">
        <f>Tabla14[[#This Row],[CC]]/10</f>
        <v>0</v>
      </c>
      <c r="T31" s="17" t="e">
        <f xml:space="preserve"> (Tabla14[[#This Row],[ICLC]] + (1 - Tabla14[[#This Row],[ICC]])) / 2</f>
        <v>#DIV/0!</v>
      </c>
      <c r="U31" t="e">
        <f t="shared" si="1"/>
        <v>#DIV/0!</v>
      </c>
      <c r="W31" t="str">
        <f t="shared" si="2"/>
        <v>Alto</v>
      </c>
    </row>
    <row r="32" spans="1:25">
      <c r="A32" s="9">
        <v>2024178653</v>
      </c>
      <c r="B32" s="10" t="s">
        <v>27</v>
      </c>
      <c r="C32" s="10" t="s">
        <v>61</v>
      </c>
      <c r="D32" s="10">
        <v>24</v>
      </c>
      <c r="E32" s="10">
        <v>2</v>
      </c>
      <c r="F32" s="10">
        <v>1</v>
      </c>
      <c r="G32" s="10">
        <v>0</v>
      </c>
      <c r="H32" s="10">
        <v>0</v>
      </c>
      <c r="I32" s="18">
        <f>Tabla14[[#This Row],[ERL]]+Tabla14[[#This Row],[IRL]]</f>
        <v>0</v>
      </c>
      <c r="J32" s="10">
        <v>10</v>
      </c>
      <c r="K32" s="10">
        <f>Tabla14[[#This Row],[LoCode]]/Tabla14[[#This Row],[NoFunctions]]</f>
        <v>24</v>
      </c>
      <c r="L32" s="18">
        <v>0.32</v>
      </c>
      <c r="M32" s="18">
        <f>SUM(Tabla14[[#This Row],[CC]:[IDC]]) - Tabla14[[#This Row],[IRC]]</f>
        <v>34.32</v>
      </c>
      <c r="N32" s="10" t="str">
        <f t="shared" si="0"/>
        <v>Medio</v>
      </c>
      <c r="O32" s="18">
        <f>1 - ((Tabla14[[#This Row],[TPFM]]- $K$49) / ($K$48 - $K$49))</f>
        <v>0.48571428571428577</v>
      </c>
      <c r="P32" s="18">
        <v>0.09</v>
      </c>
      <c r="Q32" s="18">
        <v>0.09</v>
      </c>
      <c r="R32" s="18">
        <f>SUM(Tabla14[[#This Row],[IPTFM]:[Comentarios]]) / 3</f>
        <v>0.22190476190476191</v>
      </c>
      <c r="S32" s="10">
        <f>Tabla14[[#This Row],[CC]]/10</f>
        <v>1</v>
      </c>
      <c r="T32" s="18">
        <f xml:space="preserve"> (Tabla14[[#This Row],[ICLC]] + (1 - Tabla14[[#This Row],[ICC]])) / 2</f>
        <v>0.11095238095238096</v>
      </c>
      <c r="U32" s="10" t="str">
        <f t="shared" si="1"/>
        <v>Medio</v>
      </c>
      <c r="V32" s="10">
        <v>1</v>
      </c>
      <c r="W32" s="10" t="str">
        <f t="shared" si="2"/>
        <v>Alto</v>
      </c>
      <c r="X32" s="10"/>
      <c r="Y32" s="10"/>
    </row>
    <row r="33" spans="1:25">
      <c r="A33" s="2">
        <v>2024192981</v>
      </c>
      <c r="B33" t="s">
        <v>27</v>
      </c>
      <c r="C33" t="s">
        <v>80</v>
      </c>
      <c r="I33" s="17">
        <f>Tabla14[[#This Row],[ERL]]+Tabla14[[#This Row],[IRL]]</f>
        <v>0</v>
      </c>
      <c r="K33" t="e">
        <f>Tabla14[[#This Row],[LoCode]]/Tabla14[[#This Row],[NoFunctions]]</f>
        <v>#DIV/0!</v>
      </c>
      <c r="L33" s="17"/>
      <c r="M33" s="17" t="e">
        <f>SUM(Tabla14[[#This Row],[CC]:[IDC]]) - Tabla14[[#This Row],[IRC]]</f>
        <v>#DIV/0!</v>
      </c>
      <c r="N33" t="e">
        <f t="shared" si="0"/>
        <v>#DIV/0!</v>
      </c>
      <c r="O33" s="17" t="e">
        <f>1 - ((Tabla14[[#This Row],[TPFM]]- $K$49) / ($K$48 - $K$49))</f>
        <v>#DIV/0!</v>
      </c>
      <c r="P33" s="17"/>
      <c r="Q33" s="17"/>
      <c r="R33" s="17" t="e">
        <f>SUM(Tabla14[[#This Row],[IPTFM]:[Comentarios]]) / 3</f>
        <v>#DIV/0!</v>
      </c>
      <c r="S33">
        <f>Tabla14[[#This Row],[CC]]/10</f>
        <v>0</v>
      </c>
      <c r="T33" s="17" t="e">
        <f xml:space="preserve"> (Tabla14[[#This Row],[ICLC]] + (1 - Tabla14[[#This Row],[ICC]])) / 2</f>
        <v>#DIV/0!</v>
      </c>
      <c r="U33" t="e">
        <f t="shared" si="1"/>
        <v>#DIV/0!</v>
      </c>
      <c r="W33" t="str">
        <f t="shared" si="2"/>
        <v>Alto</v>
      </c>
    </row>
    <row r="34" spans="1:25">
      <c r="A34" s="55">
        <v>2024201088</v>
      </c>
      <c r="B34" s="38" t="s">
        <v>29</v>
      </c>
      <c r="C34" s="38" t="s">
        <v>81</v>
      </c>
      <c r="D34" s="38">
        <v>36</v>
      </c>
      <c r="E34" s="38">
        <v>0</v>
      </c>
      <c r="F34" s="38">
        <v>1</v>
      </c>
      <c r="G34" s="38">
        <v>0</v>
      </c>
      <c r="H34" s="38">
        <v>0</v>
      </c>
      <c r="I34" s="39">
        <f>Tabla14[[#This Row],[ERL]]+Tabla14[[#This Row],[IRL]]</f>
        <v>0</v>
      </c>
      <c r="J34" s="38">
        <v>14</v>
      </c>
      <c r="K34" s="38">
        <f>Tabla14[[#This Row],[LoCode]]/Tabla14[[#This Row],[NoFunctions]]</f>
        <v>36</v>
      </c>
      <c r="L34" s="39">
        <v>0.39</v>
      </c>
      <c r="M34" s="39">
        <f>SUM(Tabla14[[#This Row],[CC]:[IDC]]) - Tabla14[[#This Row],[IRC]]</f>
        <v>50.39</v>
      </c>
      <c r="N34" s="38" t="str">
        <f t="shared" si="0"/>
        <v>Bajo</v>
      </c>
      <c r="O34" s="39">
        <f>1 - ((Tabla14[[#This Row],[TPFM]]- $K$49) / ($K$48 - $K$49))</f>
        <v>0.1428571428571429</v>
      </c>
      <c r="P34" s="39">
        <v>0.08</v>
      </c>
      <c r="Q34" s="39">
        <v>0</v>
      </c>
      <c r="R34" s="39">
        <f>SUM(Tabla14[[#This Row],[IPTFM]:[Comentarios]]) / 3</f>
        <v>7.4285714285714302E-2</v>
      </c>
      <c r="S34" s="38">
        <f>Tabla14[[#This Row],[CC]]/10</f>
        <v>1.4</v>
      </c>
      <c r="T34" s="39">
        <f xml:space="preserve"> (Tabla14[[#This Row],[ICLC]] + (1 - Tabla14[[#This Row],[ICC]])) / 2</f>
        <v>-0.16285714285714281</v>
      </c>
      <c r="U34" s="38" t="str">
        <f t="shared" si="1"/>
        <v>Bajo</v>
      </c>
      <c r="V34" s="38">
        <v>1</v>
      </c>
      <c r="W34" s="38" t="str">
        <f t="shared" si="2"/>
        <v>Alto</v>
      </c>
      <c r="X34" s="38"/>
      <c r="Y34" s="38"/>
    </row>
    <row r="35" spans="1:25">
      <c r="A35" s="2">
        <v>2024202804</v>
      </c>
      <c r="B35" t="s">
        <v>25</v>
      </c>
      <c r="C35" t="s">
        <v>82</v>
      </c>
      <c r="I35" s="17">
        <f>Tabla14[[#This Row],[ERL]]+Tabla14[[#This Row],[IRL]]</f>
        <v>0</v>
      </c>
      <c r="K35" t="e">
        <f>Tabla14[[#This Row],[LoCode]]/Tabla14[[#This Row],[NoFunctions]]</f>
        <v>#DIV/0!</v>
      </c>
      <c r="L35" s="17"/>
      <c r="M35" s="17" t="e">
        <f>SUM(Tabla14[[#This Row],[CC]:[IDC]]) - Tabla14[[#This Row],[IRC]]</f>
        <v>#DIV/0!</v>
      </c>
      <c r="N35" t="e">
        <f t="shared" si="0"/>
        <v>#DIV/0!</v>
      </c>
      <c r="O35" s="17" t="e">
        <f>1 - ((Tabla14[[#This Row],[TPFM]]- $K$49) / ($K$48 - $K$49))</f>
        <v>#DIV/0!</v>
      </c>
      <c r="P35" s="17"/>
      <c r="Q35" s="17"/>
      <c r="R35" s="17" t="e">
        <f>SUM(Tabla14[[#This Row],[IPTFM]:[Comentarios]]) / 3</f>
        <v>#DIV/0!</v>
      </c>
      <c r="S35">
        <f>Tabla14[[#This Row],[CC]]/10</f>
        <v>0</v>
      </c>
      <c r="T35" s="17" t="e">
        <f xml:space="preserve"> (Tabla14[[#This Row],[ICLC]] + (1 - Tabla14[[#This Row],[ICC]])) / 2</f>
        <v>#DIV/0!</v>
      </c>
      <c r="U35" t="e">
        <f t="shared" si="1"/>
        <v>#DIV/0!</v>
      </c>
      <c r="W35" t="str">
        <f t="shared" si="2"/>
        <v>Alto</v>
      </c>
    </row>
    <row r="36" spans="1:25" ht="15.95">
      <c r="A36" s="2">
        <v>2024252331</v>
      </c>
      <c r="B36" t="s">
        <v>25</v>
      </c>
      <c r="C36" s="3" t="s">
        <v>71</v>
      </c>
      <c r="I36" s="17">
        <f>Tabla14[[#This Row],[ERL]]+Tabla14[[#This Row],[IRL]]</f>
        <v>0</v>
      </c>
      <c r="K36" t="e">
        <f>Tabla14[[#This Row],[LoCode]]/Tabla14[[#This Row],[NoFunctions]]</f>
        <v>#DIV/0!</v>
      </c>
      <c r="L36" s="17"/>
      <c r="M36" s="17" t="e">
        <f>SUM(Tabla14[[#This Row],[CC]:[IDC]]) - Tabla14[[#This Row],[IRC]]</f>
        <v>#DIV/0!</v>
      </c>
      <c r="N36" t="e">
        <f t="shared" si="0"/>
        <v>#DIV/0!</v>
      </c>
      <c r="O36" s="17" t="e">
        <f>1 - ((Tabla14[[#This Row],[TPFM]]- $K$49) / ($K$48 - $K$49))</f>
        <v>#DIV/0!</v>
      </c>
      <c r="P36" s="17"/>
      <c r="Q36" s="17"/>
      <c r="R36" s="17" t="e">
        <f>SUM(Tabla14[[#This Row],[IPTFM]:[Comentarios]]) / 3</f>
        <v>#DIV/0!</v>
      </c>
      <c r="S36">
        <f>Tabla14[[#This Row],[CC]]/10</f>
        <v>0</v>
      </c>
      <c r="T36" s="17" t="e">
        <f xml:space="preserve"> (Tabla14[[#This Row],[ICLC]] + (1 - Tabla14[[#This Row],[ICC]])) / 2</f>
        <v>#DIV/0!</v>
      </c>
      <c r="U36" t="e">
        <f t="shared" si="1"/>
        <v>#DIV/0!</v>
      </c>
      <c r="W36" t="str">
        <f t="shared" si="2"/>
        <v>Alto</v>
      </c>
    </row>
    <row r="37" spans="1:25">
      <c r="A37" s="43">
        <v>2024253395</v>
      </c>
      <c r="B37" s="44" t="s">
        <v>29</v>
      </c>
      <c r="C37" s="44" t="s">
        <v>83</v>
      </c>
      <c r="D37" s="44">
        <v>9</v>
      </c>
      <c r="E37" s="44">
        <v>1</v>
      </c>
      <c r="F37" s="44">
        <v>1</v>
      </c>
      <c r="G37" s="44">
        <v>0</v>
      </c>
      <c r="H37" s="44">
        <v>0</v>
      </c>
      <c r="I37" s="45">
        <f>Tabla14[[#This Row],[ERL]]+Tabla14[[#This Row],[IRL]]</f>
        <v>0</v>
      </c>
      <c r="J37" s="44">
        <v>4</v>
      </c>
      <c r="K37" s="44">
        <f>Tabla14[[#This Row],[LoCode]]/Tabla14[[#This Row],[NoFunctions]]</f>
        <v>9</v>
      </c>
      <c r="L37" s="45">
        <v>0.22</v>
      </c>
      <c r="M37" s="45">
        <f>SUM(Tabla14[[#This Row],[CC]:[IDC]]) - Tabla14[[#This Row],[IRC]]</f>
        <v>13.22</v>
      </c>
      <c r="N37" s="44" t="str">
        <f t="shared" si="0"/>
        <v>Medio</v>
      </c>
      <c r="O37" s="45">
        <f>1 - ((Tabla14[[#This Row],[TPFM]]- $K$49) / ($K$48 - $K$49))</f>
        <v>0.91428571428571426</v>
      </c>
      <c r="P37" s="45">
        <v>0.05</v>
      </c>
      <c r="Q37" s="45">
        <v>0.05</v>
      </c>
      <c r="R37" s="45">
        <f>SUM(Tabla14[[#This Row],[IPTFM]:[Comentarios]]) / 3</f>
        <v>0.33809523809523806</v>
      </c>
      <c r="S37" s="44">
        <f>Tabla14[[#This Row],[CC]]/10</f>
        <v>0.4</v>
      </c>
      <c r="T37" s="45">
        <f xml:space="preserve"> (Tabla14[[#This Row],[ICLC]] + (1 - Tabla14[[#This Row],[ICC]])) / 2</f>
        <v>0.46904761904761905</v>
      </c>
      <c r="U37" s="44" t="str">
        <f t="shared" si="1"/>
        <v>Alto</v>
      </c>
      <c r="V37" s="44">
        <v>1</v>
      </c>
      <c r="W37" s="44" t="str">
        <f t="shared" si="2"/>
        <v>Alto</v>
      </c>
      <c r="X37" s="44"/>
      <c r="Y37" s="44"/>
    </row>
    <row r="38" spans="1:25">
      <c r="A38" s="2">
        <v>2024253434</v>
      </c>
      <c r="B38" t="s">
        <v>25</v>
      </c>
      <c r="C38" t="s">
        <v>84</v>
      </c>
      <c r="I38" s="17">
        <f>Tabla14[[#This Row],[ERL]]+Tabla14[[#This Row],[IRL]]</f>
        <v>0</v>
      </c>
      <c r="K38" t="e">
        <f>Tabla14[[#This Row],[LoCode]]/Tabla14[[#This Row],[NoFunctions]]</f>
        <v>#DIV/0!</v>
      </c>
      <c r="L38" s="17"/>
      <c r="M38" s="17" t="e">
        <f>SUM(Tabla14[[#This Row],[CC]:[IDC]]) - Tabla14[[#This Row],[IRC]]</f>
        <v>#DIV/0!</v>
      </c>
      <c r="N38" t="e">
        <f t="shared" si="0"/>
        <v>#DIV/0!</v>
      </c>
      <c r="O38" s="17" t="e">
        <f>1 - ((Tabla14[[#This Row],[TPFM]]- $K$49) / ($K$48 - $K$49))</f>
        <v>#DIV/0!</v>
      </c>
      <c r="P38" s="17"/>
      <c r="Q38" s="17"/>
      <c r="R38" s="17" t="e">
        <f>SUM(Tabla14[[#This Row],[IPTFM]:[Comentarios]]) / 3</f>
        <v>#DIV/0!</v>
      </c>
      <c r="S38">
        <f>Tabla14[[#This Row],[CC]]/10</f>
        <v>0</v>
      </c>
      <c r="T38" s="17" t="e">
        <f xml:space="preserve"> (Tabla14[[#This Row],[ICLC]] + (1 - Tabla14[[#This Row],[ICC]])) / 2</f>
        <v>#DIV/0!</v>
      </c>
      <c r="U38" t="e">
        <f t="shared" si="1"/>
        <v>#DIV/0!</v>
      </c>
      <c r="W38" t="str">
        <f t="shared" si="2"/>
        <v>Alto</v>
      </c>
    </row>
    <row r="39" spans="1:25">
      <c r="A39" s="55">
        <v>2024256175</v>
      </c>
      <c r="B39" s="38" t="s">
        <v>27</v>
      </c>
      <c r="C39" s="38" t="s">
        <v>74</v>
      </c>
      <c r="D39" s="38">
        <v>41</v>
      </c>
      <c r="E39" s="38">
        <v>1</v>
      </c>
      <c r="F39" s="38">
        <v>1</v>
      </c>
      <c r="G39" s="38">
        <v>0</v>
      </c>
      <c r="H39" s="38">
        <v>0</v>
      </c>
      <c r="I39" s="39">
        <f>Tabla14[[#This Row],[ERL]]+Tabla14[[#This Row],[IRL]]</f>
        <v>0</v>
      </c>
      <c r="J39" s="38">
        <v>12</v>
      </c>
      <c r="K39" s="38">
        <f>Tabla14[[#This Row],[LoCode]]/Tabla14[[#This Row],[NoFunctions]]</f>
        <v>41</v>
      </c>
      <c r="L39" s="39">
        <v>0.5</v>
      </c>
      <c r="M39" s="39">
        <f>SUM(Tabla14[[#This Row],[CC]:[IDC]]) - Tabla14[[#This Row],[IRC]]</f>
        <v>53.5</v>
      </c>
      <c r="N39" s="38" t="str">
        <f t="shared" si="0"/>
        <v>Bajo</v>
      </c>
      <c r="O39" s="39">
        <f>1 - ((Tabla14[[#This Row],[TPFM]]- $K$49) / ($K$48 - $K$49))</f>
        <v>0</v>
      </c>
      <c r="P39" s="39">
        <v>0.04</v>
      </c>
      <c r="Q39" s="39">
        <v>0.08</v>
      </c>
      <c r="R39" s="39">
        <f>SUM(Tabla14[[#This Row],[IPTFM]:[Comentarios]]) / 3</f>
        <v>0.04</v>
      </c>
      <c r="S39" s="38">
        <f>Tabla14[[#This Row],[CC]]/10</f>
        <v>1.2</v>
      </c>
      <c r="T39" s="39">
        <f xml:space="preserve"> (Tabla14[[#This Row],[ICLC]] + (1 - Tabla14[[#This Row],[ICC]])) / 2</f>
        <v>-7.9999999999999974E-2</v>
      </c>
      <c r="U39" s="38" t="str">
        <f t="shared" si="1"/>
        <v>Bajo</v>
      </c>
      <c r="V39" s="38">
        <v>1</v>
      </c>
      <c r="W39" s="38" t="str">
        <f t="shared" si="2"/>
        <v>Alto</v>
      </c>
      <c r="X39" s="38"/>
      <c r="Y39" s="38"/>
    </row>
    <row r="40" spans="1:25">
      <c r="A40" s="2">
        <v>2024256560</v>
      </c>
      <c r="B40" t="s">
        <v>27</v>
      </c>
      <c r="C40" t="s">
        <v>74</v>
      </c>
      <c r="I40" s="17">
        <f>Tabla14[[#This Row],[ERL]]+Tabla14[[#This Row],[IRL]]</f>
        <v>0</v>
      </c>
      <c r="K40" t="e">
        <f>Tabla14[[#This Row],[LoCode]]/Tabla14[[#This Row],[NoFunctions]]</f>
        <v>#DIV/0!</v>
      </c>
      <c r="L40" s="17"/>
      <c r="M40" s="17" t="e">
        <f>SUM(Tabla14[[#This Row],[CC]:[IDC]]) - Tabla14[[#This Row],[IRC]]</f>
        <v>#DIV/0!</v>
      </c>
      <c r="N40" t="e">
        <f t="shared" si="0"/>
        <v>#DIV/0!</v>
      </c>
      <c r="O40" s="17" t="e">
        <f>1 - ((Tabla14[[#This Row],[TPFM]]- $K$49) / ($K$48 - $K$49))</f>
        <v>#DIV/0!</v>
      </c>
      <c r="P40" s="17"/>
      <c r="Q40" s="17"/>
      <c r="R40" s="17" t="e">
        <f>SUM(Tabla14[[#This Row],[IPTFM]:[Comentarios]]) / 3</f>
        <v>#DIV/0!</v>
      </c>
      <c r="S40">
        <f>Tabla14[[#This Row],[CC]]/10</f>
        <v>0</v>
      </c>
      <c r="T40" s="17" t="e">
        <f xml:space="preserve"> (Tabla14[[#This Row],[ICLC]] + (1 - Tabla14[[#This Row],[ICC]])) / 2</f>
        <v>#DIV/0!</v>
      </c>
      <c r="U40" t="e">
        <f t="shared" si="1"/>
        <v>#DIV/0!</v>
      </c>
      <c r="W40" t="str">
        <f t="shared" si="2"/>
        <v>Alto</v>
      </c>
    </row>
    <row r="41" spans="1:25">
      <c r="A41" s="9">
        <v>2024256710</v>
      </c>
      <c r="B41" s="10" t="s">
        <v>25</v>
      </c>
      <c r="C41" s="10" t="s">
        <v>85</v>
      </c>
      <c r="D41" s="10">
        <v>27</v>
      </c>
      <c r="E41" s="10">
        <v>0</v>
      </c>
      <c r="F41" s="10">
        <v>2</v>
      </c>
      <c r="G41" s="10">
        <v>0</v>
      </c>
      <c r="H41" s="10">
        <v>0</v>
      </c>
      <c r="I41" s="18">
        <f>Tabla14[[#This Row],[ERL]]+Tabla14[[#This Row],[IRL]]</f>
        <v>0</v>
      </c>
      <c r="J41" s="10">
        <v>4.5</v>
      </c>
      <c r="K41" s="10">
        <f>Tabla14[[#This Row],[LoCode]]/Tabla14[[#This Row],[NoFunctions]]</f>
        <v>13.5</v>
      </c>
      <c r="L41" s="18">
        <v>0.56000000000000005</v>
      </c>
      <c r="M41" s="18">
        <f>SUM(Tabla14[[#This Row],[CC]:[IDC]]) - Tabla14[[#This Row],[IRC]]</f>
        <v>18.559999999999999</v>
      </c>
      <c r="N41" s="10" t="str">
        <f t="shared" si="0"/>
        <v>Medio</v>
      </c>
      <c r="O41" s="18">
        <f>1 - ((Tabla14[[#This Row],[TPFM]]- $K$49) / ($K$48 - $K$49))</f>
        <v>0.7857142857142857</v>
      </c>
      <c r="P41" s="18">
        <v>7.0000000000000007E-2</v>
      </c>
      <c r="Q41" s="18">
        <v>0</v>
      </c>
      <c r="R41" s="18">
        <f>SUM(Tabla14[[#This Row],[IPTFM]:[Comentarios]]) / 3</f>
        <v>0.28523809523809524</v>
      </c>
      <c r="S41" s="10">
        <f>Tabla14[[#This Row],[CC]]/10</f>
        <v>0.45</v>
      </c>
      <c r="T41" s="18">
        <f xml:space="preserve"> (Tabla14[[#This Row],[ICLC]] + (1 - Tabla14[[#This Row],[ICC]])) / 2</f>
        <v>0.41761904761904767</v>
      </c>
      <c r="U41" s="10" t="str">
        <f t="shared" si="1"/>
        <v>Medio</v>
      </c>
      <c r="V41" s="10">
        <v>0</v>
      </c>
      <c r="W41" s="10" t="str">
        <f t="shared" si="2"/>
        <v>Alto</v>
      </c>
      <c r="X41" s="10"/>
      <c r="Y41" s="10"/>
    </row>
    <row r="42" spans="1:25">
      <c r="A42" s="2">
        <v>2024305867</v>
      </c>
      <c r="C42" t="s">
        <v>86</v>
      </c>
      <c r="I42" s="17">
        <f>Tabla14[[#This Row],[ERL]]+Tabla14[[#This Row],[IRL]]</f>
        <v>0</v>
      </c>
      <c r="K42" t="e">
        <f>Tabla14[[#This Row],[LoCode]]/Tabla14[[#This Row],[NoFunctions]]</f>
        <v>#DIV/0!</v>
      </c>
      <c r="L42" s="17"/>
      <c r="M42" s="17" t="e">
        <f>SUM(Tabla14[[#This Row],[CC]:[IDC]]) - Tabla14[[#This Row],[IRC]]</f>
        <v>#DIV/0!</v>
      </c>
      <c r="N42" t="e">
        <f t="shared" si="0"/>
        <v>#DIV/0!</v>
      </c>
      <c r="O42" s="17" t="e">
        <f>1 - ((Tabla14[[#This Row],[TPFM]]- $K$49) / ($K$48 - $K$49))</f>
        <v>#DIV/0!</v>
      </c>
      <c r="P42" s="17"/>
      <c r="Q42" s="17"/>
      <c r="R42" s="17" t="e">
        <f>SUM(Tabla14[[#This Row],[IPTFM]:[Comentarios]]) / 3</f>
        <v>#DIV/0!</v>
      </c>
      <c r="S42">
        <f>Tabla14[[#This Row],[CC]]/10</f>
        <v>0</v>
      </c>
      <c r="T42" s="17" t="e">
        <f xml:space="preserve"> (Tabla14[[#This Row],[ICLC]] + (1 - Tabla14[[#This Row],[ICC]])) / 2</f>
        <v>#DIV/0!</v>
      </c>
      <c r="U42" t="e">
        <f t="shared" si="1"/>
        <v>#DIV/0!</v>
      </c>
      <c r="W42" t="str">
        <f t="shared" si="2"/>
        <v>Alto</v>
      </c>
    </row>
    <row r="43" spans="1:25" s="7" customFormat="1" ht="15.95">
      <c r="A43" s="33">
        <v>2024800088</v>
      </c>
      <c r="B43" s="34" t="s">
        <v>87</v>
      </c>
      <c r="C43" s="35" t="s">
        <v>74</v>
      </c>
      <c r="D43" s="34"/>
      <c r="E43" s="34"/>
      <c r="F43" s="34"/>
      <c r="G43" s="34"/>
      <c r="H43" s="36"/>
      <c r="I43" s="36">
        <f>Tabla14[[#This Row],[ERL]]+Tabla14[[#This Row],[IRL]]</f>
        <v>0</v>
      </c>
      <c r="J43" s="34"/>
      <c r="K43" s="34" t="e">
        <f>Tabla14[[#This Row],[LoCode]]/Tabla14[[#This Row],[NoFunctions]]</f>
        <v>#DIV/0!</v>
      </c>
      <c r="L43" s="36"/>
      <c r="M43" s="36" t="e">
        <f>SUM(Tabla14[[#This Row],[CC]:[IDC]]) - Tabla14[[#This Row],[IRC]]</f>
        <v>#DIV/0!</v>
      </c>
      <c r="N43" s="34" t="e">
        <f t="shared" si="0"/>
        <v>#DIV/0!</v>
      </c>
      <c r="O43" s="36" t="e">
        <f>1 - ((Tabla14[[#This Row],[TPFM]]- $K$49) / ($K$48 - $K$49))</f>
        <v>#DIV/0!</v>
      </c>
      <c r="P43" s="36"/>
      <c r="Q43" s="36"/>
      <c r="R43" s="36" t="e">
        <f>SUM(Tabla14[[#This Row],[IPTFM]:[Comentarios]]) / 3</f>
        <v>#DIV/0!</v>
      </c>
      <c r="S43" s="34">
        <f>Tabla14[[#This Row],[CC]]/10</f>
        <v>0</v>
      </c>
      <c r="T43" s="36" t="e">
        <f xml:space="preserve"> (Tabla14[[#This Row],[ICLC]] + (1 - Tabla14[[#This Row],[ICC]])) / 2</f>
        <v>#DIV/0!</v>
      </c>
      <c r="U43" s="34" t="e">
        <f t="shared" si="1"/>
        <v>#DIV/0!</v>
      </c>
      <c r="V43" s="34"/>
      <c r="W43" s="34" t="str">
        <f t="shared" si="2"/>
        <v>Alto</v>
      </c>
      <c r="X43" s="34"/>
      <c r="Y43" s="34"/>
    </row>
    <row r="44" spans="1:25">
      <c r="A44" s="43">
        <v>2024800128</v>
      </c>
      <c r="B44" s="44" t="s">
        <v>25</v>
      </c>
      <c r="C44" s="44" t="s">
        <v>26</v>
      </c>
      <c r="D44" s="44">
        <v>16</v>
      </c>
      <c r="E44" s="44">
        <v>1</v>
      </c>
      <c r="F44" s="44">
        <v>2</v>
      </c>
      <c r="G44" s="44">
        <v>0</v>
      </c>
      <c r="H44" s="44">
        <v>0</v>
      </c>
      <c r="I44" s="45">
        <f>Tabla14[[#This Row],[ERL]]+Tabla14[[#This Row],[IRL]]</f>
        <v>0</v>
      </c>
      <c r="J44" s="44">
        <v>3.5</v>
      </c>
      <c r="K44" s="44">
        <f>Tabla14[[#This Row],[LoCode]]/Tabla14[[#This Row],[NoFunctions]]</f>
        <v>8</v>
      </c>
      <c r="L44" s="45">
        <v>0.56000000000000005</v>
      </c>
      <c r="M44" s="45">
        <f>SUM(Tabla14[[#This Row],[CC]:[IDC]]) - Tabla14[[#This Row],[IRC]]</f>
        <v>12.06</v>
      </c>
      <c r="N44" s="44" t="str">
        <f t="shared" si="0"/>
        <v>Alto</v>
      </c>
      <c r="O44" s="45">
        <f>1 - ((Tabla14[[#This Row],[TPFM]]- $K$49) / ($K$48 - $K$49))</f>
        <v>0.94285714285714284</v>
      </c>
      <c r="P44" s="45">
        <v>0.14000000000000001</v>
      </c>
      <c r="Q44" s="45">
        <v>0</v>
      </c>
      <c r="R44" s="45">
        <f>SUM(Tabla14[[#This Row],[IPTFM]:[Comentarios]]) / 3</f>
        <v>0.36095238095238091</v>
      </c>
      <c r="S44" s="44">
        <f>Tabla14[[#This Row],[CC]]/10</f>
        <v>0.35</v>
      </c>
      <c r="T44" s="45">
        <f xml:space="preserve"> (Tabla14[[#This Row],[ICLC]] + (1 - Tabla14[[#This Row],[ICC]])) / 2</f>
        <v>0.50547619047619041</v>
      </c>
      <c r="U44" s="44" t="str">
        <f t="shared" si="1"/>
        <v>Alto</v>
      </c>
      <c r="V44" s="44">
        <v>1</v>
      </c>
      <c r="W44" s="44" t="str">
        <f t="shared" si="2"/>
        <v>Alto</v>
      </c>
      <c r="X44" s="44"/>
      <c r="Y44" s="44"/>
    </row>
    <row r="45" spans="1:25" s="5" customFormat="1">
      <c r="A45" s="4">
        <v>2024800158</v>
      </c>
      <c r="B45" s="5" t="s">
        <v>25</v>
      </c>
      <c r="C45" s="5" t="s">
        <v>88</v>
      </c>
      <c r="D45" s="5">
        <v>8</v>
      </c>
      <c r="E45" s="5">
        <v>1</v>
      </c>
      <c r="F45" s="5">
        <v>1</v>
      </c>
      <c r="G45" s="5">
        <v>0</v>
      </c>
      <c r="H45" s="16">
        <v>0</v>
      </c>
      <c r="I45" s="16">
        <f>Tabla14[[#This Row],[ERL]]+Tabla14[[#This Row],[IRL]]</f>
        <v>0</v>
      </c>
      <c r="J45" s="5">
        <v>3</v>
      </c>
      <c r="K45" s="5">
        <f>Tabla14[[#This Row],[LoCode]]/Tabla14[[#This Row],[NoFunctions]]</f>
        <v>8</v>
      </c>
      <c r="L45" s="16">
        <v>0</v>
      </c>
      <c r="M45" s="16">
        <f>SUM(Tabla14[[#This Row],[CC]:[IDC]]) - Tabla14[[#This Row],[IRC]]</f>
        <v>11</v>
      </c>
      <c r="N45" s="5" t="str">
        <f t="shared" si="0"/>
        <v>Alto</v>
      </c>
      <c r="O45" s="16">
        <f>1 - ((Tabla14[[#This Row],[TPFM]]- $K$49) / ($K$48 - $K$49))</f>
        <v>0.94285714285714284</v>
      </c>
      <c r="P45" s="16">
        <v>0.05</v>
      </c>
      <c r="Q45" s="16">
        <v>0</v>
      </c>
      <c r="R45" s="16">
        <f>SUM(Tabla14[[#This Row],[IPTFM]:[Comentarios]]) / 3</f>
        <v>0.33095238095238094</v>
      </c>
      <c r="S45" s="5">
        <f>Tabla14[[#This Row],[CC]]/10</f>
        <v>0.3</v>
      </c>
      <c r="T45" s="16">
        <f xml:space="preserve"> (Tabla14[[#This Row],[ICLC]] + (1 - Tabla14[[#This Row],[ICC]])) / 2</f>
        <v>0.51547619047619042</v>
      </c>
      <c r="U45" s="5" t="str">
        <f t="shared" si="1"/>
        <v>Alto</v>
      </c>
      <c r="V45" s="5">
        <v>1</v>
      </c>
      <c r="W45" s="5" t="str">
        <f t="shared" si="2"/>
        <v>Alto</v>
      </c>
    </row>
    <row r="46" spans="1:25">
      <c r="A46" s="55">
        <v>2024800621</v>
      </c>
      <c r="B46" s="38" t="s">
        <v>25</v>
      </c>
      <c r="C46" s="38" t="s">
        <v>89</v>
      </c>
      <c r="D46" s="38">
        <v>25</v>
      </c>
      <c r="E46" s="38">
        <v>2</v>
      </c>
      <c r="F46" s="38">
        <v>1</v>
      </c>
      <c r="G46" s="38">
        <v>0</v>
      </c>
      <c r="H46" s="38">
        <v>0</v>
      </c>
      <c r="I46" s="39">
        <f>Tabla14[[#This Row],[ERL]]+Tabla14[[#This Row],[IRL]]</f>
        <v>0</v>
      </c>
      <c r="J46" s="38">
        <v>7</v>
      </c>
      <c r="K46" s="38">
        <f>Tabla14[[#This Row],[LoCode]]/Tabla14[[#This Row],[NoFunctions]]</f>
        <v>25</v>
      </c>
      <c r="L46" s="39">
        <v>0.56000000000000005</v>
      </c>
      <c r="M46" s="39">
        <f>SUM(Tabla14[[#This Row],[CC]:[IDC]]) - Tabla14[[#This Row],[IRC]]</f>
        <v>32.56</v>
      </c>
      <c r="N46" s="38" t="str">
        <f t="shared" si="0"/>
        <v>Medio</v>
      </c>
      <c r="O46" s="39">
        <f>1 - ((Tabla14[[#This Row],[TPFM]]- $K$49) / ($K$48 - $K$49))</f>
        <v>0.45714285714285718</v>
      </c>
      <c r="P46" s="39">
        <v>0.06</v>
      </c>
      <c r="Q46" s="39">
        <v>0.12</v>
      </c>
      <c r="R46" s="39">
        <f>SUM(Tabla14[[#This Row],[IPTFM]:[Comentarios]]) / 3</f>
        <v>0.21238095238095236</v>
      </c>
      <c r="S46" s="38">
        <f>Tabla14[[#This Row],[CC]]/10</f>
        <v>0.7</v>
      </c>
      <c r="T46" s="39">
        <f xml:space="preserve"> (Tabla14[[#This Row],[ICLC]] + (1 - Tabla14[[#This Row],[ICC]])) / 2</f>
        <v>0.25619047619047619</v>
      </c>
      <c r="U46" s="38" t="str">
        <f t="shared" si="1"/>
        <v>Medio</v>
      </c>
      <c r="V46" s="38">
        <v>1</v>
      </c>
      <c r="W46" s="38" t="str">
        <f t="shared" si="2"/>
        <v>Alto</v>
      </c>
      <c r="X46" s="38"/>
      <c r="Y46" s="38"/>
    </row>
    <row r="47" spans="1:25" ht="15.95">
      <c r="A47" s="28">
        <v>2024800990</v>
      </c>
      <c r="B47" s="29" t="s">
        <v>27</v>
      </c>
      <c r="C47" s="30" t="s">
        <v>74</v>
      </c>
      <c r="D47" s="29">
        <v>33</v>
      </c>
      <c r="E47" s="29">
        <v>0</v>
      </c>
      <c r="F47" s="29">
        <v>1</v>
      </c>
      <c r="G47" s="29">
        <v>0</v>
      </c>
      <c r="H47" s="29">
        <v>0</v>
      </c>
      <c r="I47" s="32">
        <f>Tabla14[[#This Row],[ERL]]+Tabla14[[#This Row],[IRL]]</f>
        <v>0</v>
      </c>
      <c r="J47" s="29">
        <v>13</v>
      </c>
      <c r="K47" s="29">
        <f>Tabla14[[#This Row],[LoCode]]/Tabla14[[#This Row],[NoFunctions]]</f>
        <v>33</v>
      </c>
      <c r="L47" s="32">
        <v>0.73</v>
      </c>
      <c r="M47" s="32">
        <f>SUM(Tabla14[[#This Row],[CC]:[IDC]]) - Tabla14[[#This Row],[IRC]]</f>
        <v>46.73</v>
      </c>
      <c r="N47" s="29" t="str">
        <f t="shared" si="0"/>
        <v>Bajo</v>
      </c>
      <c r="O47" s="32">
        <f>1 - ((Tabla14[[#This Row],[TPFM]]- $K$49) / ($K$48 - $K$49))</f>
        <v>0.22857142857142854</v>
      </c>
      <c r="P47" s="32">
        <v>0.08</v>
      </c>
      <c r="Q47" s="32">
        <v>0</v>
      </c>
      <c r="R47" s="32">
        <f>SUM(Tabla14[[#This Row],[IPTFM]:[Comentarios]]) / 3</f>
        <v>0.10285714285714286</v>
      </c>
      <c r="S47" s="29">
        <f>Tabla14[[#This Row],[CC]]/10</f>
        <v>1.3</v>
      </c>
      <c r="T47" s="32">
        <f xml:space="preserve"> (Tabla14[[#This Row],[ICLC]] + (1 - Tabla14[[#This Row],[ICC]])) / 2</f>
        <v>-9.8571428571428588E-2</v>
      </c>
      <c r="U47" s="29" t="str">
        <f t="shared" si="1"/>
        <v>Bajo</v>
      </c>
      <c r="V47" s="29">
        <v>1</v>
      </c>
      <c r="W47" s="29" t="str">
        <f t="shared" si="2"/>
        <v>Alto</v>
      </c>
      <c r="X47" s="29"/>
      <c r="Y47" s="29"/>
    </row>
    <row r="48" spans="1:25">
      <c r="F48" t="s">
        <v>41</v>
      </c>
      <c r="G48" s="17">
        <f>QUARTILE((M4,M16,M28,M45,M13,M34,M3,M24,M22,M7,M8,M10,M17,M27,M23,M30,M32,M37,M39,M41,M44,M46,M47), 1)</f>
        <v>13</v>
      </c>
      <c r="K48">
        <f>MAX((K4,K28,K45,K16,K13,K34,K3,K24,K7,K8,K10,K17,K22,K23,K27,K30,K32,K37,K39,K41,K44,K46,K47))</f>
        <v>41</v>
      </c>
      <c r="P48" s="17">
        <f>QUARTILE((T4,T16,T28,T45,T13,T34,T3,T24,T7,T8,T10,T17,T22,T23,T27,T30,T32,T37,T39,T41,T44,T46,T47), 1)</f>
        <v>-3.8095238095238085E-2</v>
      </c>
      <c r="V48">
        <f>QUARTILE((V28,V4,V13,V16,V34,V45,V3,V24,V7,V8,V10,V17,V22,V23,V27,V30,V32,V37,V39,V41,V44,V46,V47), 1)</f>
        <v>1</v>
      </c>
    </row>
    <row r="49" spans="6:22">
      <c r="F49" t="s">
        <v>43</v>
      </c>
      <c r="G49" s="17">
        <f>QUARTILE((M4,M16,M28,M45,M13,M34,M3,M24,M22,M7,M8,M10,M17,M27,M23,M30,M32,M37,M39,M41,M44,M46,M47), 2)</f>
        <v>29.74</v>
      </c>
      <c r="K49" s="17">
        <f>MIN(K4,K28,K45,K16,K13,K34,K3,K24,K7,K8,K10,K17,K22,K23,K27,K30,K32,K37,K39,K41,K44,K46,K47)</f>
        <v>6</v>
      </c>
      <c r="P49" s="17">
        <f>QUARTILE((T4,T16,T28,T45,T13,T34,T3,T24,T7,T8,T10,T17,T22,T23,T27,T30,T32,T37,T39,T41,T44,T46,T47), 2)</f>
        <v>0.25619047619047619</v>
      </c>
    </row>
    <row r="50" spans="6:22">
      <c r="F50" t="s">
        <v>45</v>
      </c>
      <c r="G50" s="17">
        <f>QUARTILE((M4,M16,M28,M45,M13,M34,M3,M24,M22,M7,M8,M10,M17,M27,M23,M30,M32,M37,M39,M41,M44,M46,M47), 3)</f>
        <v>41.59</v>
      </c>
      <c r="P50" s="17">
        <f>QUARTILE((T4,T16,T28,T45,T13,T34,T3,T24,T7,T8,T10,T17,T22,T23,T27,T30,T32,T37,T39,T41,T44,T46,T47), 3)</f>
        <v>0.45595238095238094</v>
      </c>
      <c r="V50">
        <f>QUARTILE((V28,V4,V13,V16,V34,V45,V3,V24,V7,V8,V10,V17,V22,V23,V27,V30,V32,V37,V39,V41,V44,V46,V47), 3)</f>
        <v>1</v>
      </c>
    </row>
    <row r="51" spans="6:22">
      <c r="F51" t="s">
        <v>46</v>
      </c>
      <c r="G51" s="17">
        <f>AVERAGE((M4,M16,M28,M45,M13,M34))</f>
        <v>29.957222222222224</v>
      </c>
    </row>
    <row r="52" spans="6:22">
      <c r="F52" t="s">
        <v>47</v>
      </c>
      <c r="G52" s="17">
        <f>STDEV((M4,M16,M28,M45,M13,M34,M3,M24,M22,M7,M8,M10,M17,M27,M23,M30,M32,M37,M39,M41,M44,M46,M47))</f>
        <v>14.671874712005222</v>
      </c>
    </row>
    <row r="53" spans="6:22">
      <c r="F53" t="s">
        <v>48</v>
      </c>
      <c r="G53" s="17">
        <f>G52/G51</f>
        <v>0.48976085309811024</v>
      </c>
    </row>
  </sheetData>
  <mergeCells count="4">
    <mergeCell ref="G1:N1"/>
    <mergeCell ref="O1:U1"/>
    <mergeCell ref="V1:W1"/>
    <mergeCell ref="X1:Y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F839-500F-48D3-B26C-1D22F244C594}">
  <dimension ref="A1:Y53"/>
  <sheetViews>
    <sheetView topLeftCell="I1" workbookViewId="0">
      <selection activeCell="U3" sqref="U3"/>
    </sheetView>
  </sheetViews>
  <sheetFormatPr defaultColWidth="8.85546875" defaultRowHeight="15"/>
  <cols>
    <col min="1" max="1" width="15.28515625" customWidth="1"/>
    <col min="2" max="2" width="12" bestFit="1" customWidth="1"/>
    <col min="3" max="3" width="36.5703125" bestFit="1" customWidth="1"/>
    <col min="4" max="4" width="8.7109375" bestFit="1" customWidth="1"/>
    <col min="5" max="5" width="14.28515625" bestFit="1" customWidth="1"/>
    <col min="6" max="6" width="13.42578125" bestFit="1" customWidth="1"/>
    <col min="7" max="7" width="5.7109375" bestFit="1" customWidth="1"/>
    <col min="8" max="9" width="4.7109375" bestFit="1" customWidth="1"/>
    <col min="10" max="10" width="4.28515625" bestFit="1" customWidth="1"/>
    <col min="11" max="11" width="6.42578125" bestFit="1" customWidth="1"/>
    <col min="12" max="12" width="5.42578125" bestFit="1" customWidth="1"/>
    <col min="13" max="13" width="34.28515625" style="17" bestFit="1" customWidth="1"/>
    <col min="14" max="14" width="20.85546875" bestFit="1" customWidth="1"/>
    <col min="15" max="15" width="8" bestFit="1" customWidth="1"/>
    <col min="16" max="16" width="29.28515625" style="17" bestFit="1" customWidth="1"/>
    <col min="17" max="17" width="13.7109375" bestFit="1" customWidth="1"/>
    <col min="18" max="18" width="8.85546875" style="17"/>
    <col min="19" max="19" width="8" style="17" bestFit="1" customWidth="1"/>
    <col min="20" max="20" width="15.28515625" style="17" bestFit="1" customWidth="1"/>
    <col min="21" max="21" width="12.28515625" bestFit="1" customWidth="1"/>
    <col min="22" max="22" width="8.85546875" style="17"/>
    <col min="23" max="23" width="12.42578125" bestFit="1" customWidth="1"/>
    <col min="24" max="24" width="20.140625" bestFit="1" customWidth="1"/>
  </cols>
  <sheetData>
    <row r="1" spans="1:25">
      <c r="A1" s="31" t="s">
        <v>0</v>
      </c>
      <c r="B1" s="31" t="s">
        <v>1</v>
      </c>
      <c r="C1" s="31" t="s">
        <v>52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50" t="s">
        <v>12</v>
      </c>
      <c r="N1" s="31" t="s">
        <v>13</v>
      </c>
      <c r="O1" s="31" t="s">
        <v>14</v>
      </c>
      <c r="P1" s="50" t="s">
        <v>15</v>
      </c>
      <c r="Q1" s="31" t="s">
        <v>2</v>
      </c>
      <c r="R1" s="50" t="s">
        <v>17</v>
      </c>
      <c r="S1" s="50" t="s">
        <v>18</v>
      </c>
      <c r="T1" s="50" t="s">
        <v>19</v>
      </c>
      <c r="U1" s="31" t="s">
        <v>20</v>
      </c>
      <c r="V1" s="50" t="s">
        <v>21</v>
      </c>
      <c r="W1" s="31" t="s">
        <v>22</v>
      </c>
      <c r="X1" s="31" t="s">
        <v>23</v>
      </c>
      <c r="Y1" s="31" t="s">
        <v>24</v>
      </c>
    </row>
    <row r="2" spans="1:25" hidden="1">
      <c r="A2" s="27">
        <v>2016220461</v>
      </c>
    </row>
    <row r="3" spans="1:25" s="15" customFormat="1">
      <c r="A3" s="14">
        <v>2020184824</v>
      </c>
      <c r="B3" s="15" t="s">
        <v>27</v>
      </c>
      <c r="D3" s="15">
        <v>11</v>
      </c>
      <c r="E3" s="15">
        <v>2</v>
      </c>
      <c r="F3" s="15">
        <v>1</v>
      </c>
      <c r="G3" s="15">
        <v>0</v>
      </c>
      <c r="H3" s="15">
        <v>0</v>
      </c>
      <c r="I3" s="15">
        <f t="shared" ref="I3:I17" si="0">G3+H3</f>
        <v>0</v>
      </c>
      <c r="J3" s="15">
        <v>4</v>
      </c>
      <c r="K3" s="15">
        <f t="shared" ref="K3:K17" si="1">D3/F3</f>
        <v>11</v>
      </c>
      <c r="L3" s="15">
        <v>0.33</v>
      </c>
      <c r="M3" s="23">
        <f>SUM(J3:L3)-I3</f>
        <v>15.33</v>
      </c>
      <c r="N3" s="15" t="str">
        <f>IF(M3 &lt; $G$48, "Alto", IF(M3 &lt; $G$50, "Medio", "Bajo"))</f>
        <v>Medio</v>
      </c>
      <c r="O3" s="23">
        <f>1-((K3-$K$49)/($K$48-$K$49))</f>
        <v>0.79411764705882359</v>
      </c>
      <c r="P3" s="23">
        <v>2.564E-2</v>
      </c>
      <c r="Q3" s="23">
        <v>4.1599999999999998E-2</v>
      </c>
      <c r="R3" s="23">
        <f t="shared" ref="R3:R18" si="2">SUM(O3:Q3)/3</f>
        <v>0.28711921568627452</v>
      </c>
      <c r="S3" s="23">
        <f t="shared" ref="S3:S18" si="3">J3/$S$48</f>
        <v>0.4</v>
      </c>
      <c r="T3" s="23">
        <f>(R3+(1-S3))/2</f>
        <v>0.44355960784313725</v>
      </c>
      <c r="U3" s="15" t="str">
        <f>IF(T3 &lt; $P$48, "Bajo", IF(T3 &lt; $P$50, "Medio", "Alto"))</f>
        <v>Medio</v>
      </c>
      <c r="V3" s="23">
        <v>1</v>
      </c>
      <c r="W3" s="15" t="str">
        <f>IF(V3 &lt; $V$48, "Bajo", IF(V3 &gt;= $V$50, "Alto", "Medio"))</f>
        <v>Alto</v>
      </c>
    </row>
    <row r="4" spans="1:25" s="7" customFormat="1">
      <c r="A4" s="6">
        <v>2022000033</v>
      </c>
      <c r="B4" s="7" t="s">
        <v>25</v>
      </c>
      <c r="C4" s="7" t="s">
        <v>90</v>
      </c>
      <c r="D4" s="7">
        <v>21</v>
      </c>
      <c r="E4" s="7">
        <v>3</v>
      </c>
      <c r="F4" s="7">
        <v>2</v>
      </c>
      <c r="G4" s="7">
        <v>0</v>
      </c>
      <c r="H4" s="19">
        <f>2/D4</f>
        <v>9.5238095238095233E-2</v>
      </c>
      <c r="I4" s="7">
        <f t="shared" si="0"/>
        <v>9.5238095238095233E-2</v>
      </c>
      <c r="J4" s="7">
        <v>3.5</v>
      </c>
      <c r="K4" s="7">
        <f t="shared" si="1"/>
        <v>10.5</v>
      </c>
      <c r="L4" s="7">
        <v>0.19</v>
      </c>
      <c r="M4" s="19">
        <f t="shared" ref="M4:M18" si="4">SUM(J4:L4)-I4</f>
        <v>14.094761904761905</v>
      </c>
      <c r="N4" s="7" t="str">
        <f t="shared" ref="N4:N46" si="5">IF(M4 &lt; $G$48, "Alto", IF(M4 &lt; $G$50, "Medio", "Bajo"))</f>
        <v>Alto</v>
      </c>
      <c r="O4" s="19">
        <f t="shared" ref="O4:O46" si="6">1-((K4-$K$49)/($K$48-$K$49))</f>
        <v>0.80882352941176472</v>
      </c>
      <c r="P4" s="19">
        <v>4.8779999999999997E-2</v>
      </c>
      <c r="Q4" s="7">
        <v>0</v>
      </c>
      <c r="R4" s="19">
        <f t="shared" si="2"/>
        <v>0.28586784313725494</v>
      </c>
      <c r="S4" s="19">
        <f t="shared" si="3"/>
        <v>0.35</v>
      </c>
      <c r="T4" s="19">
        <f t="shared" ref="T4:T18" si="7">(R4+(1-S4))/2</f>
        <v>0.46793392156862745</v>
      </c>
      <c r="U4" s="7" t="str">
        <f t="shared" ref="U4:U46" si="8">IF(T4 &lt; $P$48, "Bajo", IF(T4 &lt; $P$50, "Medio", "Alto"))</f>
        <v>Alto</v>
      </c>
      <c r="V4" s="19">
        <v>1</v>
      </c>
      <c r="W4" s="7" t="str">
        <f t="shared" ref="W4:W46" si="9">IF(V4 &lt; $V$48, "Bajo", IF(V4 &gt;= $V$50, "Alto", "Medio"))</f>
        <v>Alto</v>
      </c>
    </row>
    <row r="5" spans="1:25" s="7" customFormat="1">
      <c r="A5" s="6">
        <v>2022146515</v>
      </c>
      <c r="B5" s="7" t="s">
        <v>25</v>
      </c>
      <c r="C5" s="7" t="s">
        <v>91</v>
      </c>
      <c r="D5" s="7">
        <v>18</v>
      </c>
      <c r="E5" s="7">
        <v>2</v>
      </c>
      <c r="F5" s="7">
        <v>1</v>
      </c>
      <c r="G5" s="7">
        <v>0</v>
      </c>
      <c r="H5" s="7">
        <v>0</v>
      </c>
      <c r="I5" s="7">
        <f t="shared" si="0"/>
        <v>0</v>
      </c>
      <c r="J5" s="7">
        <v>0</v>
      </c>
      <c r="K5" s="7">
        <f t="shared" si="1"/>
        <v>18</v>
      </c>
      <c r="L5" s="7">
        <v>0.55559999999999998</v>
      </c>
      <c r="M5" s="19">
        <f t="shared" si="4"/>
        <v>18.555599999999998</v>
      </c>
      <c r="N5" s="7" t="str">
        <f t="shared" si="5"/>
        <v>Medio</v>
      </c>
      <c r="O5" s="19">
        <f t="shared" si="6"/>
        <v>0.58823529411764708</v>
      </c>
      <c r="P5" s="19">
        <v>2.7E-2</v>
      </c>
      <c r="Q5" s="7">
        <v>2.7E-2</v>
      </c>
      <c r="R5" s="19">
        <f t="shared" si="2"/>
        <v>0.21407843137254903</v>
      </c>
      <c r="S5" s="19">
        <f t="shared" si="3"/>
        <v>0</v>
      </c>
      <c r="T5" s="19">
        <f t="shared" si="7"/>
        <v>0.6070392156862745</v>
      </c>
      <c r="U5" s="7" t="str">
        <f t="shared" si="8"/>
        <v>Alto</v>
      </c>
      <c r="V5" s="19">
        <v>0.5</v>
      </c>
      <c r="W5" s="7" t="str">
        <f t="shared" si="9"/>
        <v>Bajo</v>
      </c>
    </row>
    <row r="6" spans="1:25" hidden="1">
      <c r="A6" s="27">
        <v>2022163260</v>
      </c>
      <c r="I6" s="15">
        <f t="shared" si="0"/>
        <v>0</v>
      </c>
      <c r="K6" s="15" t="e">
        <f t="shared" si="1"/>
        <v>#DIV/0!</v>
      </c>
      <c r="M6" s="23" t="e">
        <f t="shared" si="4"/>
        <v>#DIV/0!</v>
      </c>
      <c r="N6" s="15" t="e">
        <f t="shared" si="5"/>
        <v>#DIV/0!</v>
      </c>
      <c r="O6" s="23" t="e">
        <f t="shared" si="6"/>
        <v>#DIV/0!</v>
      </c>
      <c r="R6" s="23" t="e">
        <f t="shared" si="2"/>
        <v>#DIV/0!</v>
      </c>
      <c r="S6" s="23">
        <f t="shared" si="3"/>
        <v>0</v>
      </c>
      <c r="T6" s="23" t="e">
        <f t="shared" si="7"/>
        <v>#DIV/0!</v>
      </c>
      <c r="U6" s="15" t="e">
        <f t="shared" si="8"/>
        <v>#DIV/0!</v>
      </c>
      <c r="W6" s="15" t="str">
        <f t="shared" si="9"/>
        <v>Bajo</v>
      </c>
    </row>
    <row r="7" spans="1:25" hidden="1">
      <c r="A7" s="2">
        <v>2023066681</v>
      </c>
      <c r="I7" s="15">
        <f t="shared" si="0"/>
        <v>0</v>
      </c>
      <c r="K7" s="15" t="e">
        <f t="shared" si="1"/>
        <v>#DIV/0!</v>
      </c>
      <c r="M7" s="23" t="e">
        <f t="shared" si="4"/>
        <v>#DIV/0!</v>
      </c>
      <c r="N7" s="15" t="e">
        <f t="shared" si="5"/>
        <v>#DIV/0!</v>
      </c>
      <c r="O7" s="23" t="e">
        <f t="shared" si="6"/>
        <v>#DIV/0!</v>
      </c>
      <c r="R7" s="23" t="e">
        <f t="shared" si="2"/>
        <v>#DIV/0!</v>
      </c>
      <c r="S7" s="23">
        <f t="shared" si="3"/>
        <v>0</v>
      </c>
      <c r="T7" s="23" t="e">
        <f t="shared" si="7"/>
        <v>#DIV/0!</v>
      </c>
      <c r="U7" s="15" t="e">
        <f t="shared" si="8"/>
        <v>#DIV/0!</v>
      </c>
      <c r="W7" s="15" t="str">
        <f t="shared" si="9"/>
        <v>Bajo</v>
      </c>
    </row>
    <row r="8" spans="1:25" s="68" customFormat="1" hidden="1">
      <c r="A8" s="67">
        <v>2023112646</v>
      </c>
      <c r="B8" s="68" t="s">
        <v>25</v>
      </c>
      <c r="C8" s="68" t="s">
        <v>91</v>
      </c>
      <c r="I8" s="68">
        <f t="shared" si="0"/>
        <v>0</v>
      </c>
      <c r="M8" s="69">
        <f t="shared" si="4"/>
        <v>0</v>
      </c>
      <c r="N8" s="68" t="str">
        <f t="shared" si="5"/>
        <v>Alto</v>
      </c>
      <c r="O8" s="69">
        <f t="shared" si="6"/>
        <v>1.1176470588235294</v>
      </c>
      <c r="P8" s="69"/>
      <c r="R8" s="69">
        <f t="shared" si="2"/>
        <v>0.37254901960784315</v>
      </c>
      <c r="S8" s="69">
        <f t="shared" si="3"/>
        <v>0</v>
      </c>
      <c r="T8" s="69">
        <f t="shared" si="7"/>
        <v>0.68627450980392157</v>
      </c>
      <c r="U8" s="68" t="str">
        <f t="shared" si="8"/>
        <v>Alto</v>
      </c>
      <c r="V8" s="69"/>
      <c r="W8" s="68" t="str">
        <f t="shared" si="9"/>
        <v>Bajo</v>
      </c>
    </row>
    <row r="9" spans="1:25" hidden="1">
      <c r="A9" s="2">
        <v>2023147244</v>
      </c>
      <c r="I9" s="15">
        <f t="shared" si="0"/>
        <v>0</v>
      </c>
      <c r="K9" s="15" t="e">
        <f t="shared" si="1"/>
        <v>#DIV/0!</v>
      </c>
      <c r="M9" s="23" t="e">
        <f t="shared" si="4"/>
        <v>#DIV/0!</v>
      </c>
      <c r="N9" s="15" t="e">
        <f t="shared" si="5"/>
        <v>#DIV/0!</v>
      </c>
      <c r="O9" s="23" t="e">
        <f t="shared" si="6"/>
        <v>#DIV/0!</v>
      </c>
      <c r="R9" s="23" t="e">
        <f t="shared" si="2"/>
        <v>#DIV/0!</v>
      </c>
      <c r="S9" s="23">
        <f t="shared" si="3"/>
        <v>0</v>
      </c>
      <c r="T9" s="23" t="e">
        <f t="shared" si="7"/>
        <v>#DIV/0!</v>
      </c>
      <c r="U9" s="15" t="e">
        <f t="shared" si="8"/>
        <v>#DIV/0!</v>
      </c>
      <c r="W9" s="15" t="str">
        <f t="shared" si="9"/>
        <v>Bajo</v>
      </c>
    </row>
    <row r="10" spans="1:25" s="7" customFormat="1">
      <c r="A10" s="6">
        <v>2023152721</v>
      </c>
      <c r="B10" s="7" t="s">
        <v>25</v>
      </c>
      <c r="C10" s="7" t="s">
        <v>92</v>
      </c>
      <c r="D10" s="7">
        <v>35</v>
      </c>
      <c r="E10" s="7">
        <v>0</v>
      </c>
      <c r="F10" s="7">
        <v>4</v>
      </c>
      <c r="G10" s="7">
        <v>0</v>
      </c>
      <c r="H10" s="7">
        <f>3/D10</f>
        <v>8.5714285714285715E-2</v>
      </c>
      <c r="I10" s="7">
        <f t="shared" si="0"/>
        <v>8.5714285714285715E-2</v>
      </c>
      <c r="J10" s="7">
        <v>3.25</v>
      </c>
      <c r="K10" s="7">
        <f t="shared" si="1"/>
        <v>8.75</v>
      </c>
      <c r="L10" s="7">
        <v>0.34289999999999998</v>
      </c>
      <c r="M10" s="19">
        <f t="shared" si="4"/>
        <v>12.257185714285715</v>
      </c>
      <c r="N10" s="7" t="str">
        <f t="shared" si="5"/>
        <v>Alto</v>
      </c>
      <c r="O10" s="19">
        <f t="shared" si="6"/>
        <v>0.86029411764705888</v>
      </c>
      <c r="P10" s="19">
        <v>6.5000000000000002E-2</v>
      </c>
      <c r="Q10" s="7">
        <v>0</v>
      </c>
      <c r="R10" s="19">
        <f t="shared" si="2"/>
        <v>0.30843137254901959</v>
      </c>
      <c r="S10" s="19">
        <f t="shared" si="3"/>
        <v>0.32500000000000001</v>
      </c>
      <c r="T10" s="19">
        <f t="shared" si="7"/>
        <v>0.49171568627450979</v>
      </c>
      <c r="U10" s="7" t="str">
        <f t="shared" si="8"/>
        <v>Alto</v>
      </c>
      <c r="V10" s="19">
        <v>0.92859999999999998</v>
      </c>
      <c r="W10" s="7" t="str">
        <f t="shared" si="9"/>
        <v>Medio</v>
      </c>
    </row>
    <row r="11" spans="1:25" s="7" customFormat="1">
      <c r="A11" s="6">
        <v>2024063271</v>
      </c>
      <c r="B11" s="7" t="s">
        <v>25</v>
      </c>
      <c r="C11" s="7" t="s">
        <v>92</v>
      </c>
      <c r="D11" s="7">
        <v>22</v>
      </c>
      <c r="E11" s="7">
        <v>0</v>
      </c>
      <c r="F11" s="7">
        <v>1</v>
      </c>
      <c r="G11" s="7">
        <v>0</v>
      </c>
      <c r="H11" s="7">
        <f>1/D11</f>
        <v>4.5454545454545456E-2</v>
      </c>
      <c r="I11" s="7">
        <f t="shared" si="0"/>
        <v>4.5454545454545456E-2</v>
      </c>
      <c r="J11" s="7">
        <v>6</v>
      </c>
      <c r="K11" s="7">
        <f t="shared" si="1"/>
        <v>22</v>
      </c>
      <c r="L11" s="7">
        <v>0.31819999999999998</v>
      </c>
      <c r="M11" s="19">
        <f t="shared" si="4"/>
        <v>28.272745454545454</v>
      </c>
      <c r="N11" s="7" t="str">
        <f t="shared" si="5"/>
        <v>Medio</v>
      </c>
      <c r="O11" s="19">
        <f t="shared" si="6"/>
        <v>0.47058823529411764</v>
      </c>
      <c r="P11" s="19">
        <v>0.10199999999999999</v>
      </c>
      <c r="Q11" s="7">
        <v>0</v>
      </c>
      <c r="R11" s="19">
        <f t="shared" si="2"/>
        <v>0.19086274509803922</v>
      </c>
      <c r="S11" s="19">
        <f t="shared" si="3"/>
        <v>0.6</v>
      </c>
      <c r="T11" s="19">
        <f t="shared" si="7"/>
        <v>0.29543137254901963</v>
      </c>
      <c r="U11" s="7" t="str">
        <f t="shared" si="8"/>
        <v>Medio</v>
      </c>
      <c r="V11" s="19">
        <v>0.85709999999999997</v>
      </c>
      <c r="W11" s="7" t="str">
        <f t="shared" si="9"/>
        <v>Bajo</v>
      </c>
    </row>
    <row r="12" spans="1:25" s="7" customFormat="1">
      <c r="A12" s="6">
        <v>2024066829</v>
      </c>
      <c r="B12" s="7" t="s">
        <v>25</v>
      </c>
      <c r="C12" s="7" t="s">
        <v>92</v>
      </c>
      <c r="D12" s="7">
        <v>19</v>
      </c>
      <c r="E12" s="7">
        <v>1</v>
      </c>
      <c r="F12" s="7">
        <v>1</v>
      </c>
      <c r="G12" s="7">
        <v>0</v>
      </c>
      <c r="H12" s="7">
        <v>0</v>
      </c>
      <c r="I12" s="7">
        <f t="shared" si="0"/>
        <v>0</v>
      </c>
      <c r="J12" s="7">
        <v>7</v>
      </c>
      <c r="K12" s="7">
        <f t="shared" si="1"/>
        <v>19</v>
      </c>
      <c r="L12" s="7">
        <v>0.73680000000000001</v>
      </c>
      <c r="M12" s="19">
        <f t="shared" si="4"/>
        <v>26.736799999999999</v>
      </c>
      <c r="N12" s="7" t="str">
        <f t="shared" si="5"/>
        <v>Medio</v>
      </c>
      <c r="O12" s="19">
        <f t="shared" si="6"/>
        <v>0.55882352941176472</v>
      </c>
      <c r="P12" s="19">
        <v>5.1999999999999998E-2</v>
      </c>
      <c r="Q12" s="7">
        <v>0</v>
      </c>
      <c r="R12" s="19">
        <f t="shared" si="2"/>
        <v>0.20360784313725491</v>
      </c>
      <c r="S12" s="19">
        <f t="shared" si="3"/>
        <v>0.7</v>
      </c>
      <c r="T12" s="19">
        <f t="shared" si="7"/>
        <v>0.25180392156862746</v>
      </c>
      <c r="U12" s="7" t="str">
        <f t="shared" si="8"/>
        <v>Medio</v>
      </c>
      <c r="V12" s="19">
        <v>0.83330000000000004</v>
      </c>
      <c r="W12" s="7" t="str">
        <f t="shared" si="9"/>
        <v>Bajo</v>
      </c>
    </row>
    <row r="13" spans="1:25" s="68" customFormat="1">
      <c r="A13" s="67">
        <v>2024070969</v>
      </c>
      <c r="B13" s="68" t="s">
        <v>25</v>
      </c>
      <c r="C13" s="68" t="s">
        <v>93</v>
      </c>
      <c r="I13" s="68">
        <f t="shared" si="0"/>
        <v>0</v>
      </c>
      <c r="M13" s="69">
        <f t="shared" si="4"/>
        <v>0</v>
      </c>
      <c r="N13" s="68" t="str">
        <f t="shared" si="5"/>
        <v>Alto</v>
      </c>
      <c r="O13" s="69">
        <f t="shared" si="6"/>
        <v>1.1176470588235294</v>
      </c>
      <c r="P13" s="69"/>
      <c r="R13" s="69">
        <f t="shared" si="2"/>
        <v>0.37254901960784315</v>
      </c>
      <c r="S13" s="69">
        <f t="shared" si="3"/>
        <v>0</v>
      </c>
      <c r="T13" s="69">
        <f t="shared" si="7"/>
        <v>0.68627450980392157</v>
      </c>
      <c r="U13" s="68" t="str">
        <f t="shared" si="8"/>
        <v>Alto</v>
      </c>
      <c r="V13" s="69"/>
      <c r="W13" s="68" t="str">
        <f t="shared" si="9"/>
        <v>Bajo</v>
      </c>
    </row>
    <row r="14" spans="1:25" s="7" customFormat="1" ht="29.25">
      <c r="A14" s="6">
        <v>2024071983</v>
      </c>
      <c r="B14" s="7" t="s">
        <v>25</v>
      </c>
      <c r="C14" s="8" t="s">
        <v>94</v>
      </c>
      <c r="D14" s="7">
        <v>4</v>
      </c>
      <c r="E14" s="7">
        <v>0</v>
      </c>
      <c r="F14" s="7">
        <v>1</v>
      </c>
      <c r="G14" s="7">
        <v>0</v>
      </c>
      <c r="H14" s="7">
        <v>0</v>
      </c>
      <c r="I14" s="7">
        <f>G14+H14</f>
        <v>0</v>
      </c>
      <c r="J14" s="7">
        <v>1</v>
      </c>
      <c r="K14" s="7">
        <f t="shared" si="1"/>
        <v>4</v>
      </c>
      <c r="L14" s="7">
        <v>0</v>
      </c>
      <c r="M14" s="19">
        <f>SUM(J14:L14)-H14</f>
        <v>5</v>
      </c>
      <c r="N14" s="7" t="str">
        <f t="shared" si="5"/>
        <v>Alto</v>
      </c>
      <c r="O14" s="19">
        <f t="shared" si="6"/>
        <v>1</v>
      </c>
      <c r="P14" s="19">
        <v>5.3999999999999999E-2</v>
      </c>
      <c r="Q14" s="7">
        <v>0</v>
      </c>
      <c r="R14" s="19">
        <f t="shared" si="2"/>
        <v>0.35133333333333333</v>
      </c>
      <c r="S14" s="19">
        <f t="shared" si="3"/>
        <v>0.1</v>
      </c>
      <c r="T14" s="19">
        <f t="shared" si="7"/>
        <v>0.6256666666666667</v>
      </c>
      <c r="U14" s="7" t="str">
        <f t="shared" si="8"/>
        <v>Alto</v>
      </c>
      <c r="V14" s="19">
        <v>1</v>
      </c>
      <c r="W14" s="7" t="str">
        <f t="shared" si="9"/>
        <v>Alto</v>
      </c>
    </row>
    <row r="15" spans="1:25" hidden="1">
      <c r="A15" s="2">
        <v>2024082949</v>
      </c>
      <c r="I15" s="15">
        <f t="shared" si="0"/>
        <v>0</v>
      </c>
      <c r="K15" s="15" t="e">
        <f t="shared" si="1"/>
        <v>#DIV/0!</v>
      </c>
      <c r="M15" s="23" t="e">
        <f t="shared" si="4"/>
        <v>#DIV/0!</v>
      </c>
      <c r="N15" s="15" t="e">
        <f t="shared" si="5"/>
        <v>#DIV/0!</v>
      </c>
      <c r="O15" s="23" t="e">
        <f t="shared" si="6"/>
        <v>#DIV/0!</v>
      </c>
      <c r="R15" s="23" t="e">
        <f t="shared" si="2"/>
        <v>#DIV/0!</v>
      </c>
      <c r="S15" s="23">
        <f t="shared" si="3"/>
        <v>0</v>
      </c>
      <c r="T15" s="23" t="e">
        <f t="shared" si="7"/>
        <v>#DIV/0!</v>
      </c>
      <c r="U15" s="15" t="e">
        <f t="shared" si="8"/>
        <v>#DIV/0!</v>
      </c>
      <c r="W15" s="15" t="str">
        <f t="shared" si="9"/>
        <v>Bajo</v>
      </c>
    </row>
    <row r="16" spans="1:25" s="29" customFormat="1" ht="15.95">
      <c r="A16" s="28">
        <v>2024090884</v>
      </c>
      <c r="B16" s="29" t="s">
        <v>29</v>
      </c>
      <c r="C16" s="30" t="s">
        <v>95</v>
      </c>
      <c r="D16" s="29">
        <v>36</v>
      </c>
      <c r="E16" s="29">
        <v>0</v>
      </c>
      <c r="F16" s="29">
        <v>1</v>
      </c>
      <c r="G16" s="29">
        <v>0</v>
      </c>
      <c r="H16" s="32">
        <f>1/D16</f>
        <v>2.7777777777777776E-2</v>
      </c>
      <c r="I16" s="29">
        <f t="shared" si="0"/>
        <v>2.7777777777777776E-2</v>
      </c>
      <c r="J16" s="29">
        <v>8</v>
      </c>
      <c r="K16" s="29">
        <f t="shared" si="1"/>
        <v>36</v>
      </c>
      <c r="L16" s="29">
        <v>0.25</v>
      </c>
      <c r="M16" s="32">
        <f t="shared" si="4"/>
        <v>44.222222222222221</v>
      </c>
      <c r="N16" s="29" t="str">
        <f t="shared" si="5"/>
        <v>Bajo</v>
      </c>
      <c r="O16" s="32">
        <f t="shared" si="6"/>
        <v>5.8823529411764719E-2</v>
      </c>
      <c r="P16" s="32">
        <v>4.8779999999999997E-2</v>
      </c>
      <c r="Q16" s="29">
        <v>0</v>
      </c>
      <c r="R16" s="32">
        <f t="shared" si="2"/>
        <v>3.5867843137254905E-2</v>
      </c>
      <c r="S16" s="32">
        <f t="shared" si="3"/>
        <v>0.8</v>
      </c>
      <c r="T16" s="32">
        <f t="shared" si="7"/>
        <v>0.11793392156862743</v>
      </c>
      <c r="U16" s="29" t="str">
        <f t="shared" si="8"/>
        <v>Bajo</v>
      </c>
      <c r="V16" s="32">
        <v>1</v>
      </c>
      <c r="W16" s="29" t="str">
        <f t="shared" si="9"/>
        <v>Alto</v>
      </c>
    </row>
    <row r="17" spans="1:23" s="29" customFormat="1">
      <c r="A17" s="28">
        <v>2024093410</v>
      </c>
      <c r="B17" s="29" t="s">
        <v>29</v>
      </c>
      <c r="C17" s="29" t="s">
        <v>96</v>
      </c>
      <c r="D17" s="29">
        <v>8</v>
      </c>
      <c r="E17" s="29">
        <v>0</v>
      </c>
      <c r="F17" s="29">
        <v>1</v>
      </c>
      <c r="G17" s="29">
        <v>0</v>
      </c>
      <c r="H17" s="29">
        <v>0</v>
      </c>
      <c r="I17" s="29">
        <f t="shared" si="0"/>
        <v>0</v>
      </c>
      <c r="J17" s="29">
        <v>5</v>
      </c>
      <c r="K17" s="29">
        <f t="shared" si="1"/>
        <v>8</v>
      </c>
      <c r="L17" s="29">
        <v>0.375</v>
      </c>
      <c r="M17" s="32">
        <f t="shared" si="4"/>
        <v>13.375</v>
      </c>
      <c r="N17" s="29" t="str">
        <f t="shared" si="5"/>
        <v>Alto</v>
      </c>
      <c r="O17" s="32">
        <f t="shared" si="6"/>
        <v>0.88235294117647056</v>
      </c>
      <c r="P17" s="32">
        <v>5.45E-2</v>
      </c>
      <c r="Q17" s="29">
        <v>0</v>
      </c>
      <c r="R17" s="32">
        <f t="shared" si="2"/>
        <v>0.3122843137254902</v>
      </c>
      <c r="S17" s="32">
        <f t="shared" si="3"/>
        <v>0.5</v>
      </c>
      <c r="T17" s="32">
        <f t="shared" si="7"/>
        <v>0.40614215686274513</v>
      </c>
      <c r="U17" s="29" t="str">
        <f t="shared" si="8"/>
        <v>Medio</v>
      </c>
      <c r="V17" s="32">
        <v>1</v>
      </c>
      <c r="W17" s="29" t="str">
        <f t="shared" si="9"/>
        <v>Alto</v>
      </c>
    </row>
    <row r="18" spans="1:23" s="7" customFormat="1">
      <c r="A18" s="6">
        <v>2024096731</v>
      </c>
      <c r="B18" s="7" t="s">
        <v>25</v>
      </c>
      <c r="C18" s="7" t="s">
        <v>93</v>
      </c>
      <c r="D18" s="7">
        <v>29</v>
      </c>
      <c r="E18" s="7">
        <v>0</v>
      </c>
      <c r="F18" s="7">
        <v>2</v>
      </c>
      <c r="G18" s="7">
        <v>0</v>
      </c>
      <c r="H18" s="7">
        <f>2/D18</f>
        <v>6.8965517241379309E-2</v>
      </c>
      <c r="I18" s="7">
        <f>G18+H18</f>
        <v>6.8965517241379309E-2</v>
      </c>
      <c r="J18" s="7">
        <v>2.5</v>
      </c>
      <c r="K18" s="7">
        <f>D18/F18</f>
        <v>14.5</v>
      </c>
      <c r="L18" s="7">
        <v>0.37930000000000003</v>
      </c>
      <c r="M18" s="19">
        <f t="shared" si="4"/>
        <v>17.31033448275862</v>
      </c>
      <c r="N18" s="7" t="str">
        <f t="shared" si="5"/>
        <v>Medio</v>
      </c>
      <c r="O18" s="19">
        <f t="shared" si="6"/>
        <v>0.69117647058823528</v>
      </c>
      <c r="P18" s="19">
        <v>9.7000000000000003E-2</v>
      </c>
      <c r="Q18" s="7">
        <v>0</v>
      </c>
      <c r="R18" s="19">
        <f>SUM(O18:Q18)/3</f>
        <v>0.26272549019607844</v>
      </c>
      <c r="S18" s="19">
        <f>J18/$S$48</f>
        <v>0.25</v>
      </c>
      <c r="T18" s="19">
        <f>(R18+(1-S18))/2</f>
        <v>0.50636274509803925</v>
      </c>
      <c r="U18" s="7" t="str">
        <f t="shared" si="8"/>
        <v>Alto</v>
      </c>
      <c r="V18" s="19">
        <v>0.90910000000000002</v>
      </c>
      <c r="W18" s="7" t="str">
        <f t="shared" si="9"/>
        <v>Medio</v>
      </c>
    </row>
    <row r="19" spans="1:23" s="7" customFormat="1">
      <c r="A19" s="6">
        <v>2024099007</v>
      </c>
      <c r="B19" s="7" t="s">
        <v>25</v>
      </c>
      <c r="C19" s="7" t="s">
        <v>92</v>
      </c>
      <c r="D19" s="7">
        <v>13</v>
      </c>
      <c r="E19" s="7">
        <v>0</v>
      </c>
      <c r="F19" s="7">
        <v>1</v>
      </c>
      <c r="G19" s="7">
        <v>0</v>
      </c>
      <c r="H19" s="7">
        <v>0</v>
      </c>
      <c r="I19" s="7">
        <f>G19+H19</f>
        <v>0</v>
      </c>
      <c r="J19" s="7">
        <v>8</v>
      </c>
      <c r="K19" s="7">
        <f>D19/F19</f>
        <v>13</v>
      </c>
      <c r="L19" s="7">
        <v>0.30769999999999997</v>
      </c>
      <c r="M19" s="19">
        <f>SUM(J19:L19) - I19</f>
        <v>21.307700000000001</v>
      </c>
      <c r="N19" s="7" t="str">
        <f t="shared" si="5"/>
        <v>Medio</v>
      </c>
      <c r="O19" s="19">
        <f t="shared" si="6"/>
        <v>0.73529411764705888</v>
      </c>
      <c r="P19" s="19">
        <f>0.0303030303030303</f>
        <v>3.03030303030303E-2</v>
      </c>
      <c r="Q19" s="7">
        <v>0</v>
      </c>
      <c r="R19" s="19">
        <f t="shared" ref="R19:R30" si="10">SUM(O19:Q19)/3</f>
        <v>0.2551990493166964</v>
      </c>
      <c r="S19" s="19">
        <f t="shared" ref="S19:S30" si="11">J19/$S$48</f>
        <v>0.8</v>
      </c>
      <c r="T19" s="19">
        <f t="shared" ref="T19:T30" si="12">(R19+(1-S19))/2</f>
        <v>0.22759952465834818</v>
      </c>
      <c r="U19" s="7" t="str">
        <f t="shared" si="8"/>
        <v>Medio</v>
      </c>
      <c r="V19" s="19">
        <v>1</v>
      </c>
      <c r="W19" s="7" t="str">
        <f t="shared" si="9"/>
        <v>Alto</v>
      </c>
    </row>
    <row r="20" spans="1:23" s="7" customFormat="1">
      <c r="A20" s="6">
        <v>2024109692</v>
      </c>
      <c r="B20" s="7" t="s">
        <v>25</v>
      </c>
      <c r="C20" s="7" t="s">
        <v>92</v>
      </c>
      <c r="D20" s="7">
        <v>22</v>
      </c>
      <c r="E20" s="7">
        <v>2</v>
      </c>
      <c r="F20" s="7">
        <v>1</v>
      </c>
      <c r="G20" s="7">
        <v>0</v>
      </c>
      <c r="H20" s="7">
        <v>0</v>
      </c>
      <c r="I20" s="7">
        <v>0</v>
      </c>
      <c r="J20" s="7">
        <v>8</v>
      </c>
      <c r="K20" s="7">
        <f>D20/F20</f>
        <v>22</v>
      </c>
      <c r="L20" s="7">
        <v>0.2273</v>
      </c>
      <c r="M20" s="19">
        <f t="shared" ref="M20:M46" si="13">SUM(J20:L20) - I20</f>
        <v>30.2273</v>
      </c>
      <c r="N20" s="7" t="str">
        <f t="shared" si="5"/>
        <v>Medio</v>
      </c>
      <c r="O20" s="19">
        <f t="shared" si="6"/>
        <v>0.47058823529411764</v>
      </c>
      <c r="P20" s="19">
        <f>0.054054054054054</f>
        <v>5.4054054054054002E-2</v>
      </c>
      <c r="Q20" s="7">
        <v>0</v>
      </c>
      <c r="R20" s="19">
        <f t="shared" si="10"/>
        <v>0.17488076311605724</v>
      </c>
      <c r="S20" s="19">
        <f t="shared" si="11"/>
        <v>0.8</v>
      </c>
      <c r="T20" s="19">
        <f t="shared" si="12"/>
        <v>0.18744038155802861</v>
      </c>
      <c r="U20" s="7" t="str">
        <f t="shared" si="8"/>
        <v>Medio</v>
      </c>
      <c r="V20" s="19">
        <v>1</v>
      </c>
      <c r="W20" s="7" t="str">
        <f t="shared" si="9"/>
        <v>Alto</v>
      </c>
    </row>
    <row r="21" spans="1:23" s="7" customFormat="1">
      <c r="A21" s="6">
        <v>2024112230</v>
      </c>
      <c r="B21" s="7" t="s">
        <v>25</v>
      </c>
      <c r="C21" s="7" t="s">
        <v>92</v>
      </c>
      <c r="D21" s="7">
        <v>14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4</v>
      </c>
      <c r="K21" s="7">
        <f>D21/F21</f>
        <v>14</v>
      </c>
      <c r="L21" s="7">
        <v>0.35709999999999997</v>
      </c>
      <c r="M21" s="19">
        <f t="shared" si="13"/>
        <v>18.357099999999999</v>
      </c>
      <c r="N21" s="7" t="str">
        <f t="shared" si="5"/>
        <v>Medio</v>
      </c>
      <c r="O21" s="19">
        <f t="shared" si="6"/>
        <v>0.70588235294117641</v>
      </c>
      <c r="P21" s="19">
        <f>0.0571428571428571</f>
        <v>5.7142857142857099E-2</v>
      </c>
      <c r="Q21" s="7">
        <v>0</v>
      </c>
      <c r="R21" s="19">
        <f t="shared" si="10"/>
        <v>0.2543417366946778</v>
      </c>
      <c r="S21" s="19">
        <f t="shared" si="11"/>
        <v>0.4</v>
      </c>
      <c r="T21" s="19">
        <f t="shared" si="12"/>
        <v>0.42717086834733886</v>
      </c>
      <c r="U21" s="7" t="str">
        <f t="shared" si="8"/>
        <v>Medio</v>
      </c>
      <c r="V21" s="19">
        <v>1</v>
      </c>
      <c r="W21" s="7" t="str">
        <f t="shared" si="9"/>
        <v>Alto</v>
      </c>
    </row>
    <row r="22" spans="1:23" s="7" customFormat="1">
      <c r="A22" s="6">
        <v>2024114502</v>
      </c>
      <c r="B22" s="7" t="s">
        <v>25</v>
      </c>
      <c r="C22" s="7" t="s">
        <v>93</v>
      </c>
      <c r="D22" s="7">
        <v>29</v>
      </c>
      <c r="E22" s="7">
        <v>6</v>
      </c>
      <c r="F22" s="7">
        <v>2</v>
      </c>
      <c r="G22" s="7">
        <v>0</v>
      </c>
      <c r="H22" s="7">
        <v>0</v>
      </c>
      <c r="I22" s="7">
        <v>0</v>
      </c>
      <c r="J22" s="7">
        <v>8</v>
      </c>
      <c r="K22" s="7">
        <f>D22/F22</f>
        <v>14.5</v>
      </c>
      <c r="L22" s="7">
        <v>0.1875</v>
      </c>
      <c r="M22" s="19">
        <f t="shared" si="13"/>
        <v>22.6875</v>
      </c>
      <c r="N22" s="7" t="str">
        <f t="shared" si="5"/>
        <v>Medio</v>
      </c>
      <c r="O22" s="19">
        <f t="shared" si="6"/>
        <v>0.69117647058823528</v>
      </c>
      <c r="P22" s="19">
        <v>9.7560975609756101E-2</v>
      </c>
      <c r="Q22" s="7">
        <f>0.10204081632653</f>
        <v>0.10204081632653</v>
      </c>
      <c r="R22" s="19">
        <f t="shared" si="10"/>
        <v>0.29692608750817379</v>
      </c>
      <c r="S22" s="19">
        <f t="shared" si="11"/>
        <v>0.8</v>
      </c>
      <c r="T22" s="19">
        <f t="shared" si="12"/>
        <v>0.24846304375408687</v>
      </c>
      <c r="U22" s="7" t="str">
        <f t="shared" si="8"/>
        <v>Medio</v>
      </c>
      <c r="V22" s="19">
        <v>1</v>
      </c>
      <c r="W22" s="7" t="str">
        <f t="shared" si="9"/>
        <v>Alto</v>
      </c>
    </row>
    <row r="23" spans="1:23" hidden="1">
      <c r="A23" s="2">
        <v>2024132538</v>
      </c>
      <c r="K23" s="7" t="e">
        <f>D23/F23</f>
        <v>#DIV/0!</v>
      </c>
      <c r="M23" s="19" t="e">
        <f t="shared" si="13"/>
        <v>#DIV/0!</v>
      </c>
      <c r="N23" s="15" t="e">
        <f t="shared" si="5"/>
        <v>#DIV/0!</v>
      </c>
      <c r="O23" s="23" t="e">
        <f t="shared" si="6"/>
        <v>#DIV/0!</v>
      </c>
      <c r="R23" s="17" t="e">
        <f t="shared" si="10"/>
        <v>#DIV/0!</v>
      </c>
      <c r="S23" s="17">
        <f t="shared" si="11"/>
        <v>0</v>
      </c>
      <c r="T23" s="17" t="e">
        <f t="shared" si="12"/>
        <v>#DIV/0!</v>
      </c>
      <c r="U23" s="15" t="e">
        <f t="shared" si="8"/>
        <v>#DIV/0!</v>
      </c>
      <c r="W23" s="15" t="str">
        <f t="shared" si="9"/>
        <v>Bajo</v>
      </c>
    </row>
    <row r="24" spans="1:23" s="7" customFormat="1">
      <c r="A24" s="6">
        <v>2024136072</v>
      </c>
      <c r="B24" s="7" t="s">
        <v>25</v>
      </c>
      <c r="C24" s="7" t="s">
        <v>97</v>
      </c>
      <c r="D24" s="7">
        <v>25</v>
      </c>
      <c r="E24" s="7">
        <v>0</v>
      </c>
      <c r="F24" s="7">
        <v>1</v>
      </c>
      <c r="G24" s="7">
        <v>0</v>
      </c>
      <c r="H24" s="7">
        <v>0</v>
      </c>
      <c r="I24" s="7">
        <v>0</v>
      </c>
      <c r="J24" s="7">
        <v>8</v>
      </c>
      <c r="K24" s="7">
        <f t="shared" ref="K23:K28" si="14">D24/F24</f>
        <v>25</v>
      </c>
      <c r="L24" s="7">
        <v>0.2</v>
      </c>
      <c r="M24" s="19">
        <f t="shared" si="13"/>
        <v>33.200000000000003</v>
      </c>
      <c r="N24" s="7" t="str">
        <f t="shared" si="5"/>
        <v>Bajo</v>
      </c>
      <c r="O24" s="19">
        <f t="shared" si="6"/>
        <v>0.38235294117647056</v>
      </c>
      <c r="P24" s="19">
        <f>0.0789473684210526</f>
        <v>7.8947368421052599E-2</v>
      </c>
      <c r="Q24" s="7">
        <v>0</v>
      </c>
      <c r="R24" s="19">
        <f t="shared" si="10"/>
        <v>0.15376676986584106</v>
      </c>
      <c r="S24" s="19">
        <f t="shared" si="11"/>
        <v>0.8</v>
      </c>
      <c r="T24" s="19">
        <f t="shared" si="12"/>
        <v>0.1768833849329205</v>
      </c>
      <c r="U24" s="7" t="str">
        <f t="shared" si="8"/>
        <v>Bajo</v>
      </c>
      <c r="V24" s="19">
        <v>1</v>
      </c>
      <c r="W24" s="7" t="str">
        <f t="shared" si="9"/>
        <v>Alto</v>
      </c>
    </row>
    <row r="25" spans="1:23" s="7" customFormat="1">
      <c r="A25" s="6">
        <v>2024138712</v>
      </c>
      <c r="B25" s="7" t="s">
        <v>25</v>
      </c>
      <c r="C25" s="7" t="s">
        <v>91</v>
      </c>
      <c r="D25" s="7">
        <v>15</v>
      </c>
      <c r="E25" s="7">
        <v>1</v>
      </c>
      <c r="F25" s="7">
        <v>3</v>
      </c>
      <c r="G25" s="7">
        <v>0</v>
      </c>
      <c r="H25" s="7">
        <v>0</v>
      </c>
      <c r="I25" s="7">
        <v>0</v>
      </c>
      <c r="J25" s="7">
        <v>7</v>
      </c>
      <c r="K25" s="7">
        <f t="shared" si="14"/>
        <v>5</v>
      </c>
      <c r="L25" s="7">
        <v>0.26669999999999999</v>
      </c>
      <c r="M25" s="19">
        <f t="shared" si="13"/>
        <v>12.2667</v>
      </c>
      <c r="N25" s="7" t="str">
        <f t="shared" si="5"/>
        <v>Alto</v>
      </c>
      <c r="O25" s="19">
        <f t="shared" si="6"/>
        <v>0.97058823529411764</v>
      </c>
      <c r="P25" s="19">
        <f>0.114285714285714</f>
        <v>0.114285714285714</v>
      </c>
      <c r="Q25" s="7">
        <f>0.054054054054054</f>
        <v>5.4054054054054002E-2</v>
      </c>
      <c r="R25" s="19">
        <f t="shared" si="10"/>
        <v>0.37964266787796186</v>
      </c>
      <c r="S25" s="19">
        <f t="shared" si="11"/>
        <v>0.7</v>
      </c>
      <c r="T25" s="19">
        <f t="shared" si="12"/>
        <v>0.33982133393898095</v>
      </c>
      <c r="U25" s="7" t="str">
        <f t="shared" si="8"/>
        <v>Medio</v>
      </c>
      <c r="V25" s="19">
        <v>1</v>
      </c>
      <c r="W25" s="7" t="str">
        <f t="shared" si="9"/>
        <v>Alto</v>
      </c>
    </row>
    <row r="26" spans="1:23" s="15" customFormat="1" ht="29.25">
      <c r="A26" s="14">
        <v>2024140841</v>
      </c>
      <c r="B26" s="15" t="s">
        <v>27</v>
      </c>
      <c r="C26" s="77" t="s">
        <v>98</v>
      </c>
      <c r="D26" s="15">
        <v>51</v>
      </c>
      <c r="E26" s="15">
        <v>11</v>
      </c>
      <c r="F26" s="15">
        <v>3</v>
      </c>
      <c r="G26" s="15">
        <v>0</v>
      </c>
      <c r="H26" s="15">
        <v>0</v>
      </c>
      <c r="I26" s="15">
        <v>0</v>
      </c>
      <c r="J26" s="15">
        <v>16</v>
      </c>
      <c r="K26" s="15">
        <f t="shared" si="14"/>
        <v>17</v>
      </c>
      <c r="L26" s="15">
        <v>0.27450000000000002</v>
      </c>
      <c r="M26" s="23">
        <f t="shared" si="13"/>
        <v>33.274500000000003</v>
      </c>
      <c r="N26" s="15" t="str">
        <f t="shared" si="5"/>
        <v>Bajo</v>
      </c>
      <c r="O26" s="23">
        <f t="shared" si="6"/>
        <v>0.61764705882352944</v>
      </c>
      <c r="P26" s="23">
        <f>0.162162162162162</f>
        <v>0.162162162162162</v>
      </c>
      <c r="Q26" s="15">
        <f>0.0847457627118644</f>
        <v>8.4745762711864403E-2</v>
      </c>
      <c r="R26" s="23">
        <f t="shared" si="10"/>
        <v>0.28818499456585195</v>
      </c>
      <c r="S26" s="23">
        <f t="shared" si="11"/>
        <v>1.6</v>
      </c>
      <c r="T26" s="23">
        <f t="shared" si="12"/>
        <v>-0.15590750271707407</v>
      </c>
      <c r="U26" s="15" t="str">
        <f t="shared" si="8"/>
        <v>Bajo</v>
      </c>
      <c r="V26" s="23">
        <v>0.72729999999999995</v>
      </c>
      <c r="W26" s="15" t="str">
        <f t="shared" si="9"/>
        <v>Bajo</v>
      </c>
    </row>
    <row r="27" spans="1:23" hidden="1">
      <c r="A27" s="2">
        <v>2024145117</v>
      </c>
      <c r="K27" s="7" t="e">
        <f t="shared" si="14"/>
        <v>#DIV/0!</v>
      </c>
      <c r="M27" s="19" t="e">
        <f t="shared" si="13"/>
        <v>#DIV/0!</v>
      </c>
      <c r="N27" s="15" t="e">
        <f t="shared" si="5"/>
        <v>#DIV/0!</v>
      </c>
      <c r="O27" s="23" t="e">
        <f t="shared" si="6"/>
        <v>#DIV/0!</v>
      </c>
      <c r="R27" s="17" t="e">
        <f t="shared" si="10"/>
        <v>#DIV/0!</v>
      </c>
      <c r="S27" s="17">
        <f t="shared" si="11"/>
        <v>0</v>
      </c>
      <c r="T27" s="17" t="e">
        <f t="shared" si="12"/>
        <v>#DIV/0!</v>
      </c>
      <c r="U27" s="15" t="e">
        <f t="shared" si="8"/>
        <v>#DIV/0!</v>
      </c>
      <c r="W27" s="15" t="str">
        <f t="shared" si="9"/>
        <v>Bajo</v>
      </c>
    </row>
    <row r="28" spans="1:23" s="7" customFormat="1">
      <c r="A28" s="6">
        <v>2024145153</v>
      </c>
      <c r="B28" s="7" t="s">
        <v>25</v>
      </c>
      <c r="C28" s="7" t="s">
        <v>92</v>
      </c>
      <c r="D28" s="7">
        <v>27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>
        <v>8</v>
      </c>
      <c r="K28" s="7">
        <f t="shared" si="14"/>
        <v>27</v>
      </c>
      <c r="L28" s="7">
        <v>0.1852</v>
      </c>
      <c r="M28" s="19">
        <f t="shared" si="13"/>
        <v>35.185200000000002</v>
      </c>
      <c r="N28" s="7" t="str">
        <f t="shared" si="5"/>
        <v>Bajo</v>
      </c>
      <c r="O28" s="19">
        <f t="shared" si="6"/>
        <v>0.32352941176470584</v>
      </c>
      <c r="P28" s="19">
        <f>0.088235294117647</f>
        <v>8.8235294117646995E-2</v>
      </c>
      <c r="Q28" s="7">
        <v>0</v>
      </c>
      <c r="R28" s="19">
        <f t="shared" si="10"/>
        <v>0.13725490196078427</v>
      </c>
      <c r="S28" s="19">
        <f t="shared" si="11"/>
        <v>0.8</v>
      </c>
      <c r="T28" s="19">
        <f t="shared" si="12"/>
        <v>0.16862745098039211</v>
      </c>
      <c r="U28" s="7" t="str">
        <f t="shared" si="8"/>
        <v>Bajo</v>
      </c>
      <c r="V28" s="19">
        <v>0.85709999999999997</v>
      </c>
      <c r="W28" s="7" t="str">
        <f t="shared" si="9"/>
        <v>Bajo</v>
      </c>
    </row>
    <row r="29" spans="1:23" hidden="1">
      <c r="A29" s="2">
        <v>2024163735</v>
      </c>
      <c r="M29" s="19">
        <f t="shared" si="13"/>
        <v>0</v>
      </c>
      <c r="N29" s="15" t="str">
        <f t="shared" si="5"/>
        <v>Alto</v>
      </c>
      <c r="O29" s="23">
        <f t="shared" si="6"/>
        <v>1.1176470588235294</v>
      </c>
      <c r="R29" s="17">
        <f t="shared" si="10"/>
        <v>0.37254901960784315</v>
      </c>
      <c r="S29" s="17">
        <f t="shared" si="11"/>
        <v>0</v>
      </c>
      <c r="T29" s="17">
        <f t="shared" si="12"/>
        <v>0.68627450980392157</v>
      </c>
      <c r="U29" s="15" t="str">
        <f t="shared" si="8"/>
        <v>Alto</v>
      </c>
      <c r="W29" s="15" t="str">
        <f t="shared" si="9"/>
        <v>Bajo</v>
      </c>
    </row>
    <row r="30" spans="1:23" s="7" customFormat="1">
      <c r="A30" s="67">
        <v>2024178193</v>
      </c>
      <c r="B30" s="68" t="s">
        <v>25</v>
      </c>
      <c r="C30" s="68" t="s">
        <v>91</v>
      </c>
      <c r="D30" s="68"/>
      <c r="E30" s="68"/>
      <c r="F30" s="68"/>
      <c r="G30" s="68"/>
      <c r="H30" s="68"/>
      <c r="I30" s="68"/>
      <c r="J30" s="68"/>
      <c r="K30" s="68"/>
      <c r="L30" s="68"/>
      <c r="M30" s="69"/>
      <c r="N30" s="68" t="str">
        <f t="shared" si="5"/>
        <v>Alto</v>
      </c>
      <c r="O30" s="69">
        <f t="shared" si="6"/>
        <v>1.1176470588235294</v>
      </c>
      <c r="P30" s="69"/>
      <c r="Q30" s="68"/>
      <c r="R30" s="69">
        <f t="shared" si="10"/>
        <v>0.37254901960784315</v>
      </c>
      <c r="S30" s="69">
        <f t="shared" si="11"/>
        <v>0</v>
      </c>
      <c r="T30" s="69">
        <f t="shared" si="12"/>
        <v>0.68627450980392157</v>
      </c>
      <c r="U30" s="68" t="str">
        <f t="shared" si="8"/>
        <v>Alto</v>
      </c>
      <c r="V30" s="69"/>
      <c r="W30" s="68" t="str">
        <f t="shared" si="9"/>
        <v>Bajo</v>
      </c>
    </row>
    <row r="31" spans="1:23" s="7" customFormat="1">
      <c r="A31" s="6">
        <v>2024178653</v>
      </c>
      <c r="B31" s="7" t="s">
        <v>25</v>
      </c>
      <c r="C31" s="7" t="s">
        <v>97</v>
      </c>
      <c r="D31" s="7">
        <v>16</v>
      </c>
      <c r="E31" s="7">
        <v>0</v>
      </c>
      <c r="F31" s="7">
        <v>1</v>
      </c>
      <c r="G31" s="7">
        <v>0</v>
      </c>
      <c r="H31" s="7">
        <v>0</v>
      </c>
      <c r="I31" s="7">
        <v>0</v>
      </c>
      <c r="J31" s="7">
        <v>6</v>
      </c>
      <c r="K31" s="7">
        <f>D31/F31</f>
        <v>16</v>
      </c>
      <c r="L31" s="7">
        <v>0.35</v>
      </c>
      <c r="M31" s="19">
        <f t="shared" si="13"/>
        <v>22.35</v>
      </c>
      <c r="N31" s="7" t="str">
        <f t="shared" si="5"/>
        <v>Medio</v>
      </c>
      <c r="O31" s="19">
        <f t="shared" si="6"/>
        <v>0.64705882352941169</v>
      </c>
      <c r="P31" s="19">
        <v>0.05</v>
      </c>
      <c r="Q31" s="7">
        <v>0.08</v>
      </c>
      <c r="R31" s="19">
        <f>SUM(O31:Q31)/3</f>
        <v>0.25901960784313721</v>
      </c>
      <c r="S31" s="19">
        <f>J31/$S$48</f>
        <v>0.6</v>
      </c>
      <c r="T31" s="19">
        <f>(R31+(1-S31))/2</f>
        <v>0.32950980392156859</v>
      </c>
      <c r="U31" s="7" t="str">
        <f t="shared" si="8"/>
        <v>Medio</v>
      </c>
      <c r="V31" s="19">
        <v>1</v>
      </c>
      <c r="W31" s="7" t="str">
        <f t="shared" si="9"/>
        <v>Alto</v>
      </c>
    </row>
    <row r="32" spans="1:23" s="29" customFormat="1">
      <c r="A32" s="28">
        <v>2024192981</v>
      </c>
      <c r="B32" s="29" t="s">
        <v>29</v>
      </c>
      <c r="C32" s="29" t="s">
        <v>99</v>
      </c>
      <c r="D32" s="29">
        <v>24</v>
      </c>
      <c r="E32" s="29">
        <v>0</v>
      </c>
      <c r="F32" s="29">
        <v>1</v>
      </c>
      <c r="G32" s="29">
        <v>0</v>
      </c>
      <c r="H32" s="29">
        <v>0</v>
      </c>
      <c r="I32" s="29">
        <f>G32+H32</f>
        <v>0</v>
      </c>
      <c r="J32" s="29">
        <v>8</v>
      </c>
      <c r="K32" s="29">
        <f>D32/F32</f>
        <v>24</v>
      </c>
      <c r="L32" s="29">
        <v>0.375</v>
      </c>
      <c r="M32" s="32">
        <f t="shared" si="13"/>
        <v>32.375</v>
      </c>
      <c r="N32" s="29" t="str">
        <f t="shared" si="5"/>
        <v>Bajo</v>
      </c>
      <c r="O32" s="32">
        <f t="shared" si="6"/>
        <v>0.41176470588235292</v>
      </c>
      <c r="P32" s="32">
        <v>7.0000000000000007E-2</v>
      </c>
      <c r="Q32" s="29">
        <v>0.04</v>
      </c>
      <c r="R32" s="32">
        <f>SUM(O32:Q32)/3</f>
        <v>0.17392156862745098</v>
      </c>
      <c r="S32" s="32">
        <f>J32/$S$48</f>
        <v>0.8</v>
      </c>
      <c r="T32" s="32">
        <f>(R32+(1-S32))/2</f>
        <v>0.18696078431372548</v>
      </c>
      <c r="U32" s="29" t="str">
        <f t="shared" si="8"/>
        <v>Bajo</v>
      </c>
      <c r="V32" s="32">
        <f>0.8571</f>
        <v>0.85709999999999997</v>
      </c>
      <c r="W32" s="29" t="str">
        <f t="shared" si="9"/>
        <v>Bajo</v>
      </c>
    </row>
    <row r="33" spans="1:25" hidden="1">
      <c r="A33" s="28">
        <v>2024201088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19">
        <f t="shared" si="13"/>
        <v>0</v>
      </c>
      <c r="N33" s="15" t="str">
        <f t="shared" si="5"/>
        <v>Alto</v>
      </c>
      <c r="O33" s="23">
        <f t="shared" si="6"/>
        <v>1.1176470588235294</v>
      </c>
      <c r="P33" s="32"/>
      <c r="Q33" s="29"/>
      <c r="R33" s="32"/>
      <c r="S33" s="32"/>
      <c r="T33" s="32"/>
      <c r="U33" s="15" t="str">
        <f t="shared" si="8"/>
        <v>Bajo</v>
      </c>
      <c r="V33" s="32"/>
      <c r="W33" s="15" t="str">
        <f t="shared" si="9"/>
        <v>Bajo</v>
      </c>
      <c r="X33" s="29"/>
      <c r="Y33" s="29"/>
    </row>
    <row r="34" spans="1:25" s="7" customFormat="1">
      <c r="A34" s="6">
        <v>2024202804</v>
      </c>
      <c r="B34" s="7" t="s">
        <v>25</v>
      </c>
      <c r="C34" s="7" t="s">
        <v>92</v>
      </c>
      <c r="D34" s="7">
        <v>19</v>
      </c>
      <c r="E34" s="7">
        <v>0</v>
      </c>
      <c r="F34" s="7">
        <v>3</v>
      </c>
      <c r="G34" s="7">
        <v>0</v>
      </c>
      <c r="H34" s="7">
        <v>0</v>
      </c>
      <c r="I34" s="7">
        <v>0</v>
      </c>
      <c r="J34" s="7">
        <v>2.67</v>
      </c>
      <c r="K34" s="7">
        <f>D34/F34</f>
        <v>6.333333333333333</v>
      </c>
      <c r="L34" s="7">
        <v>0.37</v>
      </c>
      <c r="M34" s="19">
        <f t="shared" si="13"/>
        <v>9.3733333333333331</v>
      </c>
      <c r="N34" s="7" t="str">
        <f t="shared" si="5"/>
        <v>Alto</v>
      </c>
      <c r="O34" s="19">
        <f t="shared" si="6"/>
        <v>0.93137254901960786</v>
      </c>
      <c r="P34" s="19">
        <v>0.06</v>
      </c>
      <c r="Q34" s="7">
        <v>0</v>
      </c>
      <c r="R34" s="19">
        <f>SUM(O34:Q34)/3</f>
        <v>0.33045751633986931</v>
      </c>
      <c r="S34" s="19">
        <f>J34/$S$48</f>
        <v>0.26700000000000002</v>
      </c>
      <c r="T34" s="19">
        <f>(R34+(1-S34))/2</f>
        <v>0.53172875816993459</v>
      </c>
      <c r="U34" s="7" t="str">
        <f t="shared" si="8"/>
        <v>Alto</v>
      </c>
      <c r="V34" s="19">
        <v>1</v>
      </c>
      <c r="W34" s="7" t="str">
        <f t="shared" si="9"/>
        <v>Alto</v>
      </c>
    </row>
    <row r="35" spans="1:25" s="29" customFormat="1">
      <c r="A35" s="28">
        <v>2024252331</v>
      </c>
      <c r="B35" s="29" t="s">
        <v>29</v>
      </c>
      <c r="C35" s="29" t="s">
        <v>99</v>
      </c>
      <c r="D35" s="29">
        <v>28</v>
      </c>
      <c r="E35" s="29">
        <v>2</v>
      </c>
      <c r="F35" s="29">
        <v>1</v>
      </c>
      <c r="G35" s="29">
        <v>0</v>
      </c>
      <c r="H35" s="29">
        <v>0</v>
      </c>
      <c r="I35" s="29">
        <v>0</v>
      </c>
      <c r="J35" s="29">
        <v>9</v>
      </c>
      <c r="K35" s="29">
        <f>D35/F35</f>
        <v>28</v>
      </c>
      <c r="L35" s="29">
        <v>0.4</v>
      </c>
      <c r="M35" s="32">
        <f t="shared" si="13"/>
        <v>37.4</v>
      </c>
      <c r="N35" s="29" t="str">
        <f t="shared" si="5"/>
        <v>Bajo</v>
      </c>
      <c r="O35" s="32">
        <f t="shared" si="6"/>
        <v>0.29411764705882348</v>
      </c>
      <c r="P35" s="32">
        <v>0.02</v>
      </c>
      <c r="Q35" s="29">
        <v>0.02</v>
      </c>
      <c r="R35" s="32">
        <f>SUM(O35:Q35)/3</f>
        <v>0.11137254901960784</v>
      </c>
      <c r="S35" s="32">
        <f>J35/$S$48</f>
        <v>0.9</v>
      </c>
      <c r="T35" s="32">
        <f>(R35+(1-S35))/2</f>
        <v>0.10568627450980392</v>
      </c>
      <c r="U35" s="29" t="str">
        <f t="shared" si="8"/>
        <v>Bajo</v>
      </c>
      <c r="V35" s="32">
        <v>0.89</v>
      </c>
      <c r="W35" s="29" t="str">
        <f t="shared" si="9"/>
        <v>Medio</v>
      </c>
    </row>
    <row r="36" spans="1:25" s="7" customFormat="1">
      <c r="A36" s="6">
        <v>2024253395</v>
      </c>
      <c r="B36" s="7" t="s">
        <v>25</v>
      </c>
      <c r="C36" s="7" t="s">
        <v>92</v>
      </c>
      <c r="D36" s="7">
        <v>13</v>
      </c>
      <c r="E36" s="7">
        <v>1</v>
      </c>
      <c r="F36" s="7">
        <v>1</v>
      </c>
      <c r="G36" s="7">
        <v>0</v>
      </c>
      <c r="H36" s="7">
        <v>0</v>
      </c>
      <c r="I36" s="7">
        <v>0</v>
      </c>
      <c r="J36" s="7">
        <v>4</v>
      </c>
      <c r="K36" s="7">
        <f>D31/F31</f>
        <v>16</v>
      </c>
      <c r="L36" s="7">
        <v>0.38</v>
      </c>
      <c r="M36" s="19">
        <f t="shared" si="13"/>
        <v>20.38</v>
      </c>
      <c r="N36" s="7" t="str">
        <f t="shared" si="5"/>
        <v>Medio</v>
      </c>
      <c r="O36" s="19">
        <f t="shared" si="6"/>
        <v>0.64705882352941169</v>
      </c>
      <c r="P36" s="19">
        <v>0.09</v>
      </c>
      <c r="Q36" s="7">
        <v>0.02</v>
      </c>
      <c r="R36" s="19">
        <f>SUM(O36:Q36)/3</f>
        <v>0.25235294117647056</v>
      </c>
      <c r="S36" s="19">
        <f>J36/$S$48</f>
        <v>0.4</v>
      </c>
      <c r="T36" s="19">
        <f>(R36+(1-S36))/2</f>
        <v>0.42617647058823527</v>
      </c>
      <c r="U36" s="7" t="str">
        <f t="shared" si="8"/>
        <v>Medio</v>
      </c>
      <c r="V36" s="19">
        <v>1</v>
      </c>
      <c r="W36" s="7" t="str">
        <f t="shared" si="9"/>
        <v>Alto</v>
      </c>
    </row>
    <row r="37" spans="1:25" s="29" customFormat="1">
      <c r="A37" s="28">
        <v>2024253434</v>
      </c>
      <c r="B37" s="29" t="s">
        <v>29</v>
      </c>
      <c r="C37" s="29" t="s">
        <v>99</v>
      </c>
      <c r="D37" s="29">
        <v>38</v>
      </c>
      <c r="E37" s="29">
        <v>0</v>
      </c>
      <c r="F37" s="29">
        <v>1</v>
      </c>
      <c r="G37" s="29">
        <v>0</v>
      </c>
      <c r="H37" s="29">
        <v>0</v>
      </c>
      <c r="I37" s="29">
        <v>0</v>
      </c>
      <c r="J37" s="29">
        <v>10</v>
      </c>
      <c r="K37" s="29">
        <f>D37/F37</f>
        <v>38</v>
      </c>
      <c r="L37" s="29">
        <v>0.33</v>
      </c>
      <c r="M37" s="32">
        <f t="shared" si="13"/>
        <v>48.33</v>
      </c>
      <c r="N37" s="29" t="str">
        <f t="shared" si="5"/>
        <v>Bajo</v>
      </c>
      <c r="O37" s="32">
        <f t="shared" si="6"/>
        <v>0</v>
      </c>
      <c r="P37" s="32">
        <v>0.1</v>
      </c>
      <c r="Q37" s="29">
        <v>0.11</v>
      </c>
      <c r="R37" s="32">
        <f>SUM(O37:Q37)/3</f>
        <v>7.0000000000000007E-2</v>
      </c>
      <c r="S37" s="32">
        <f>J37/$S$48</f>
        <v>1</v>
      </c>
      <c r="T37" s="32">
        <f>(R37+(1-S37))/2</f>
        <v>3.5000000000000003E-2</v>
      </c>
      <c r="U37" s="29" t="str">
        <f t="shared" si="8"/>
        <v>Bajo</v>
      </c>
      <c r="V37" s="32">
        <v>0.79</v>
      </c>
      <c r="W37" s="29" t="str">
        <f t="shared" si="9"/>
        <v>Bajo</v>
      </c>
    </row>
    <row r="38" spans="1:25" hidden="1">
      <c r="A38" s="28">
        <v>2024256175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19">
        <f t="shared" si="13"/>
        <v>0</v>
      </c>
      <c r="N38" s="15" t="str">
        <f t="shared" si="5"/>
        <v>Alto</v>
      </c>
      <c r="O38" s="23">
        <f t="shared" si="6"/>
        <v>1.1176470588235294</v>
      </c>
      <c r="P38" s="32"/>
      <c r="Q38" s="29"/>
      <c r="R38" s="32"/>
      <c r="S38" s="32"/>
      <c r="T38" s="32"/>
      <c r="U38" s="15" t="str">
        <f t="shared" si="8"/>
        <v>Bajo</v>
      </c>
      <c r="V38" s="32"/>
      <c r="W38" s="15" t="str">
        <f t="shared" si="9"/>
        <v>Bajo</v>
      </c>
      <c r="X38" s="29"/>
      <c r="Y38" s="29"/>
    </row>
    <row r="39" spans="1:25" s="15" customFormat="1">
      <c r="A39" s="14">
        <v>2024256560</v>
      </c>
      <c r="B39" s="15" t="s">
        <v>27</v>
      </c>
      <c r="C39" s="15" t="s">
        <v>100</v>
      </c>
      <c r="D39" s="15">
        <v>12</v>
      </c>
      <c r="E39" s="15">
        <v>14</v>
      </c>
      <c r="F39" s="15">
        <v>1</v>
      </c>
      <c r="G39" s="15">
        <v>0</v>
      </c>
      <c r="H39" s="15">
        <v>0</v>
      </c>
      <c r="I39" s="15">
        <f>G39+H39</f>
        <v>0</v>
      </c>
      <c r="J39" s="15">
        <v>6</v>
      </c>
      <c r="K39" s="15">
        <f>D39/F39</f>
        <v>12</v>
      </c>
      <c r="L39" s="15">
        <v>0.25</v>
      </c>
      <c r="M39" s="23">
        <f t="shared" si="13"/>
        <v>18.25</v>
      </c>
      <c r="N39" s="15" t="str">
        <f t="shared" si="5"/>
        <v>Medio</v>
      </c>
      <c r="O39" s="23">
        <f t="shared" si="6"/>
        <v>0.76470588235294112</v>
      </c>
      <c r="P39" s="23">
        <v>0</v>
      </c>
      <c r="Q39" s="15">
        <v>0.03</v>
      </c>
      <c r="R39" s="23">
        <f>SUM(O39:Q39)/3</f>
        <v>0.26490196078431372</v>
      </c>
      <c r="S39" s="23">
        <f>J39/$S$48</f>
        <v>0.6</v>
      </c>
      <c r="T39" s="23">
        <f>(R39+(1-S39))/2</f>
        <v>0.33245098039215687</v>
      </c>
      <c r="U39" s="15" t="str">
        <f t="shared" si="8"/>
        <v>Medio</v>
      </c>
      <c r="V39" s="23">
        <v>1</v>
      </c>
      <c r="W39" s="15" t="str">
        <f t="shared" si="9"/>
        <v>Alto</v>
      </c>
    </row>
    <row r="40" spans="1:25" hidden="1">
      <c r="A40" s="28">
        <v>2024256710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19">
        <f t="shared" si="13"/>
        <v>0</v>
      </c>
      <c r="N40" s="15" t="str">
        <f t="shared" si="5"/>
        <v>Alto</v>
      </c>
      <c r="O40" s="23">
        <f t="shared" si="6"/>
        <v>1.1176470588235294</v>
      </c>
      <c r="P40" s="32"/>
      <c r="Q40" s="29"/>
      <c r="R40" s="32"/>
      <c r="S40" s="32"/>
      <c r="T40" s="32"/>
      <c r="U40" s="15" t="str">
        <f t="shared" si="8"/>
        <v>Bajo</v>
      </c>
      <c r="V40" s="32"/>
      <c r="W40" s="15" t="str">
        <f t="shared" si="9"/>
        <v>Bajo</v>
      </c>
      <c r="X40" s="29"/>
      <c r="Y40" s="29"/>
    </row>
    <row r="41" spans="1:25" hidden="1">
      <c r="A41" s="28">
        <v>2024305867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19">
        <f t="shared" si="13"/>
        <v>0</v>
      </c>
      <c r="N41" s="15" t="str">
        <f t="shared" si="5"/>
        <v>Alto</v>
      </c>
      <c r="O41" s="23">
        <f t="shared" si="6"/>
        <v>1.1176470588235294</v>
      </c>
      <c r="P41" s="32"/>
      <c r="Q41" s="29"/>
      <c r="R41" s="32"/>
      <c r="S41" s="32"/>
      <c r="T41" s="32"/>
      <c r="U41" s="15" t="str">
        <f t="shared" si="8"/>
        <v>Bajo</v>
      </c>
      <c r="V41" s="32"/>
      <c r="W41" s="15" t="str">
        <f t="shared" si="9"/>
        <v>Bajo</v>
      </c>
      <c r="X41" s="29"/>
      <c r="Y41" s="29"/>
    </row>
    <row r="42" spans="1:25" s="15" customFormat="1">
      <c r="A42" s="14">
        <v>2024800088</v>
      </c>
      <c r="B42" s="15" t="s">
        <v>27</v>
      </c>
      <c r="D42" s="15">
        <v>27</v>
      </c>
      <c r="E42" s="15">
        <v>0</v>
      </c>
      <c r="F42" s="15">
        <v>1</v>
      </c>
      <c r="G42" s="15">
        <v>0</v>
      </c>
      <c r="H42" s="15">
        <v>0</v>
      </c>
      <c r="I42" s="15">
        <v>0</v>
      </c>
      <c r="J42" s="15">
        <v>7</v>
      </c>
      <c r="K42" s="15">
        <f>D42/F42</f>
        <v>27</v>
      </c>
      <c r="L42" s="15">
        <v>0.3</v>
      </c>
      <c r="M42" s="23">
        <f t="shared" si="13"/>
        <v>34.299999999999997</v>
      </c>
      <c r="N42" s="15" t="str">
        <f t="shared" si="5"/>
        <v>Bajo</v>
      </c>
      <c r="O42" s="23">
        <f t="shared" si="6"/>
        <v>0.32352941176470584</v>
      </c>
      <c r="P42" s="23">
        <v>0</v>
      </c>
      <c r="Q42" s="15">
        <v>0</v>
      </c>
      <c r="R42" s="23">
        <f>SUM(O42:Q42)/3</f>
        <v>0.10784313725490195</v>
      </c>
      <c r="S42" s="23">
        <f>J42/$S$48</f>
        <v>0.7</v>
      </c>
      <c r="T42" s="23">
        <f>(R42+(1-S42))/2</f>
        <v>0.20392156862745101</v>
      </c>
      <c r="U42" s="15" t="str">
        <f t="shared" si="8"/>
        <v>Medio</v>
      </c>
      <c r="V42" s="23">
        <v>1</v>
      </c>
      <c r="W42" s="15" t="str">
        <f t="shared" si="9"/>
        <v>Alto</v>
      </c>
    </row>
    <row r="43" spans="1:25" s="15" customFormat="1" hidden="1">
      <c r="A43" s="14">
        <v>2024800128</v>
      </c>
      <c r="M43" s="23">
        <f t="shared" si="13"/>
        <v>0</v>
      </c>
      <c r="N43" s="15" t="str">
        <f t="shared" si="5"/>
        <v>Alto</v>
      </c>
      <c r="O43" s="23">
        <f t="shared" si="6"/>
        <v>1.1176470588235294</v>
      </c>
      <c r="P43" s="23"/>
      <c r="R43" s="23"/>
      <c r="S43" s="23"/>
      <c r="T43" s="23"/>
      <c r="U43" s="15" t="str">
        <f t="shared" si="8"/>
        <v>Bajo</v>
      </c>
      <c r="V43" s="23"/>
      <c r="W43" s="15" t="str">
        <f t="shared" si="9"/>
        <v>Bajo</v>
      </c>
    </row>
    <row r="44" spans="1:25" s="15" customFormat="1">
      <c r="A44" s="14">
        <v>2024800158</v>
      </c>
      <c r="B44" s="15" t="s">
        <v>27</v>
      </c>
      <c r="C44" s="15" t="s">
        <v>101</v>
      </c>
      <c r="D44" s="15">
        <v>8</v>
      </c>
      <c r="E44" s="15">
        <v>1</v>
      </c>
      <c r="F44" s="15">
        <v>1</v>
      </c>
      <c r="G44" s="15">
        <v>0</v>
      </c>
      <c r="H44" s="15">
        <f>3/D44</f>
        <v>0.375</v>
      </c>
      <c r="I44" s="15">
        <f>G44+H44</f>
        <v>0.375</v>
      </c>
      <c r="J44" s="15">
        <v>4</v>
      </c>
      <c r="K44" s="15">
        <f>D44/F44</f>
        <v>8</v>
      </c>
      <c r="L44" s="15">
        <v>0.5</v>
      </c>
      <c r="M44" s="23">
        <f t="shared" si="13"/>
        <v>12.125</v>
      </c>
      <c r="N44" s="15" t="str">
        <f t="shared" si="5"/>
        <v>Alto</v>
      </c>
      <c r="O44" s="23">
        <f t="shared" si="6"/>
        <v>0.88235294117647056</v>
      </c>
      <c r="P44" s="23">
        <v>0.02</v>
      </c>
      <c r="Q44" s="15">
        <v>0.02</v>
      </c>
      <c r="R44" s="23">
        <f>SUM(O44:Q44)/3</f>
        <v>0.30745098039215685</v>
      </c>
      <c r="S44" s="23">
        <f>J44/$S$48</f>
        <v>0.4</v>
      </c>
      <c r="T44" s="23">
        <f>(R44+(1-S44))/2</f>
        <v>0.45372549019607844</v>
      </c>
      <c r="U44" s="15" t="str">
        <f t="shared" si="8"/>
        <v>Alto</v>
      </c>
      <c r="V44" s="23">
        <v>1</v>
      </c>
      <c r="W44" s="15" t="str">
        <f t="shared" si="9"/>
        <v>Alto</v>
      </c>
    </row>
    <row r="45" spans="1:25" s="15" customFormat="1" hidden="1">
      <c r="A45" s="14">
        <v>2024800621</v>
      </c>
      <c r="M45" s="23">
        <f t="shared" si="13"/>
        <v>0</v>
      </c>
      <c r="N45" s="15" t="str">
        <f t="shared" si="5"/>
        <v>Alto</v>
      </c>
      <c r="O45" s="23">
        <f t="shared" si="6"/>
        <v>1.1176470588235294</v>
      </c>
      <c r="P45" s="23"/>
      <c r="R45" s="23"/>
      <c r="S45" s="23"/>
      <c r="T45" s="23"/>
      <c r="U45" s="15" t="str">
        <f t="shared" si="8"/>
        <v>Bajo</v>
      </c>
      <c r="V45" s="23"/>
      <c r="W45" s="15" t="str">
        <f t="shared" si="9"/>
        <v>Bajo</v>
      </c>
    </row>
    <row r="46" spans="1:25" s="15" customFormat="1">
      <c r="A46" s="76">
        <v>2024800990</v>
      </c>
      <c r="B46" s="15" t="s">
        <v>27</v>
      </c>
      <c r="D46" s="15">
        <v>11</v>
      </c>
      <c r="E46" s="15">
        <v>0</v>
      </c>
      <c r="F46" s="15">
        <v>1</v>
      </c>
      <c r="G46" s="15">
        <v>0</v>
      </c>
      <c r="H46" s="15">
        <v>0</v>
      </c>
      <c r="I46" s="15">
        <v>0</v>
      </c>
      <c r="J46" s="15">
        <v>5</v>
      </c>
      <c r="K46" s="15">
        <f>D46/F46</f>
        <v>11</v>
      </c>
      <c r="L46" s="15">
        <v>0.36</v>
      </c>
      <c r="M46" s="23">
        <f t="shared" si="13"/>
        <v>16.36</v>
      </c>
      <c r="N46" s="15" t="str">
        <f t="shared" si="5"/>
        <v>Medio</v>
      </c>
      <c r="O46" s="23">
        <f t="shared" si="6"/>
        <v>0.79411764705882359</v>
      </c>
      <c r="P46" s="23">
        <v>0.1</v>
      </c>
      <c r="Q46" s="15">
        <v>0</v>
      </c>
      <c r="R46" s="23">
        <f>SUM(O46:Q46)/3</f>
        <v>0.29803921568627451</v>
      </c>
      <c r="S46" s="23">
        <f>J46/$S$48</f>
        <v>0.5</v>
      </c>
      <c r="T46" s="23">
        <f>(R46+(1-S46))/2</f>
        <v>0.39901960784313728</v>
      </c>
      <c r="U46" s="15" t="str">
        <f t="shared" si="8"/>
        <v>Medio</v>
      </c>
      <c r="V46" s="23">
        <v>1</v>
      </c>
      <c r="W46" s="15" t="str">
        <f t="shared" si="9"/>
        <v>Alto</v>
      </c>
    </row>
    <row r="48" spans="1:25">
      <c r="F48" t="s">
        <v>41</v>
      </c>
      <c r="G48" s="17">
        <f>QUARTILE((M3,M4,M16,M17,M5,M10,M11,M12,M14,M19,M20,M21,M22,M24,M25,M26,M28,M31,M32,M35,M36,M39,M42,M44,M18,M46,M37,M34), 1)</f>
        <v>15.021190476190476</v>
      </c>
      <c r="K48">
        <f>MAX((K3,K4,K16,K17,K19,K32,K39,K44,K5,K10,K11,K12,K14,K18,K20,K21,K22,K24,K25,K26,K28,K31,K35,K36,K42,K46,K34,K37))</f>
        <v>38</v>
      </c>
      <c r="P48" s="17">
        <f>QUARTILE((T4,T3,T16,T17,T5,T10,T11,T12,T14,T18,T31,T32,T35,T36,T39,T42,T44,T46,T19,T20,T21,T22,T24,T25,T26,T28,T34,T37), 1)</f>
        <v>0.18732048224695283</v>
      </c>
      <c r="S48" s="17">
        <v>10</v>
      </c>
      <c r="V48" s="17">
        <f>QUARTILE((V24,V28,V43,V45,V5,V10,V11,V12,V18,V26,V31,V32,V35,V36,V39,V42,V46,V22,V25,V21,V20,V19,V17,V16,V14,V3,V4,V44,V34,V37), 1)</f>
        <v>0.88177499999999998</v>
      </c>
    </row>
    <row r="49" spans="6:22">
      <c r="F49" t="s">
        <v>43</v>
      </c>
      <c r="G49" s="17">
        <f>QUARTILE((M3,M4,M16,M17,M5,M10,M11,M12,M14,M19,M20,M21,M22,M24,M25,M26,M28,M31,M32,M35,M36,M39,M42,M44,M18,M46), 2)</f>
        <v>20.84385</v>
      </c>
      <c r="K49">
        <f>MIN(K3,K4,K16,K17,K19,K32,K39,K44,K5,K10,K11,K12,K14,K18,K20,K21,K22,K24,K25,K26,K28,K31,K35,K36,K42,K46,K34,K37)</f>
        <v>4</v>
      </c>
      <c r="P49" s="17">
        <f>QUARTILE((T4,T3,T16,T17,T5,T10,T11,T12,T14,T18,T31,T32,T35,T36,T39,T42,T44,T46,T19,T20,T21,T22,T24,T25,T26,T28,T34,T37), 2)</f>
        <v>0.3309803921568627</v>
      </c>
    </row>
    <row r="50" spans="6:22">
      <c r="F50" t="s">
        <v>45</v>
      </c>
      <c r="G50" s="17">
        <f>QUARTILE((M3,M4,M16,M17,M5,M10,M11,M12,M14,M19,M20,M21,M22,M24,M25,M26,M28,M31,M32,M35,M36,M39,M42,M44,M18,M46), 3)</f>
        <v>31.838075</v>
      </c>
      <c r="P50" s="17">
        <f>QUARTILE((T4,T3,T16,T17,T5,T10,T11,T12,T14,T18,T31,T32,T35,T36,T39,T42,T44,T46,T19,T20,T21,T22,T24,T25,T26,T28,T34,T37), 3)</f>
        <v>0.44610107843137253</v>
      </c>
      <c r="V50" s="17">
        <f>QUARTILE((V24,V28,V43,V45,V5,V10,V11,V12,V18,V26,V31,V32,V35,V36,V39,V42,V46,V22,V25,V21,V20,V19,V17,V16,V14,V3,V4,V44,V34,V37), 3)</f>
        <v>1</v>
      </c>
    </row>
    <row r="51" spans="6:22">
      <c r="F51" t="s">
        <v>46</v>
      </c>
      <c r="G51" s="17">
        <f>AVERAGE((M3,M4,M16,M17,M5,M10,M11,M12,M14,M19,M20,M21,M22,M24,M25,M26,M28,M31,M32,M35,M36,M39,M42,M44,M18,M46))</f>
        <v>22.892332683791302</v>
      </c>
    </row>
    <row r="52" spans="6:22">
      <c r="F52" t="s">
        <v>47</v>
      </c>
      <c r="G52" s="17">
        <f>STDEV((M4,M3,M16,M17))</f>
        <v>14.999559394354034</v>
      </c>
    </row>
    <row r="53" spans="6:22">
      <c r="F53" t="s">
        <v>48</v>
      </c>
      <c r="G53" s="17">
        <f>G52/G51</f>
        <v>0.65522197329302001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FBF-B375-415C-A326-C28EAF9A403D}">
  <dimension ref="A1:E9"/>
  <sheetViews>
    <sheetView tabSelected="1" workbookViewId="0">
      <selection activeCell="D7" sqref="D7"/>
    </sheetView>
  </sheetViews>
  <sheetFormatPr defaultColWidth="8.85546875" defaultRowHeight="15"/>
  <cols>
    <col min="2" max="2" width="21" bestFit="1" customWidth="1"/>
    <col min="3" max="3" width="36.140625" bestFit="1" customWidth="1"/>
  </cols>
  <sheetData>
    <row r="1" spans="1:5">
      <c r="A1" t="s">
        <v>102</v>
      </c>
      <c r="B1" t="s">
        <v>103</v>
      </c>
      <c r="C1" t="s">
        <v>104</v>
      </c>
    </row>
    <row r="2" spans="1:5">
      <c r="A2">
        <v>1</v>
      </c>
      <c r="B2">
        <v>46</v>
      </c>
      <c r="C2">
        <f>COUNTIF(Ejercicio1!B:B,"Mala")</f>
        <v>13</v>
      </c>
      <c r="D2" s="15">
        <f>B2-C2</f>
        <v>33</v>
      </c>
      <c r="E2" s="82">
        <f>D2+D3</f>
        <v>43</v>
      </c>
    </row>
    <row r="3" spans="1:5">
      <c r="A3">
        <v>2</v>
      </c>
      <c r="B3">
        <v>33</v>
      </c>
      <c r="C3">
        <f>COUNTIF(Ejercicio2!B:B,"Mala")</f>
        <v>23</v>
      </c>
      <c r="D3" s="15">
        <f t="shared" ref="D3:D5" si="0">B3-C3</f>
        <v>10</v>
      </c>
      <c r="E3" s="82"/>
    </row>
    <row r="4" spans="1:5">
      <c r="A4">
        <v>3</v>
      </c>
      <c r="B4">
        <v>43</v>
      </c>
      <c r="C4">
        <f>COUNTIF(Ejercicio3!B:B,"Mala")</f>
        <v>25</v>
      </c>
      <c r="D4" s="15">
        <f t="shared" si="0"/>
        <v>18</v>
      </c>
      <c r="E4" s="82">
        <f>D4+D5</f>
        <v>14</v>
      </c>
    </row>
    <row r="5" spans="1:5">
      <c r="A5" t="s">
        <v>105</v>
      </c>
      <c r="B5">
        <v>16</v>
      </c>
      <c r="C5">
        <f>COUNTIF(Ejercicio4!B:B,"Mala")</f>
        <v>20</v>
      </c>
      <c r="D5" s="15">
        <f t="shared" si="0"/>
        <v>-4</v>
      </c>
      <c r="E5" s="82"/>
    </row>
    <row r="6" spans="1:5">
      <c r="D6" s="15"/>
      <c r="E6" s="15"/>
    </row>
    <row r="7" spans="1:5">
      <c r="D7" s="15">
        <f>SUM(D2:D5)</f>
        <v>57</v>
      </c>
      <c r="E7" s="15"/>
    </row>
    <row r="9" spans="1:5">
      <c r="D9">
        <v>16</v>
      </c>
    </row>
  </sheetData>
  <mergeCells count="2">
    <mergeCell ref="E2:E3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2025-04-06T21:37:21Z</dcterms:created>
  <dcterms:modified xsi:type="dcterms:W3CDTF">2025-06-16T04:16:10Z</dcterms:modified>
  <cp:category/>
  <cp:contentStatus/>
</cp:coreProperties>
</file>