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/>
  <mc:AlternateContent xmlns:mc="http://schemas.openxmlformats.org/markup-compatibility/2006">
    <mc:Choice Requires="x15">
      <x15ac:absPath xmlns:x15ac="http://schemas.microsoft.com/office/spreadsheetml/2010/11/ac" url="https://cpslo.sharepoint.com/sites/SeniorProjects2020-2021/Shared Documents/General/Armando Lopez and Nicole Lai/REA Toolkit - Excel Tool/"/>
    </mc:Choice>
  </mc:AlternateContent>
  <xr:revisionPtr revIDLastSave="636" documentId="8_{C84939AE-F638-4D85-9AB7-0258AA634CD4}" xr6:coauthVersionLast="47" xr6:coauthVersionMax="47" xr10:uidLastSave="{ED23EC00-F6A4-4834-9245-740AD038C8DD}"/>
  <bookViews>
    <workbookView xWindow="-108" yWindow="-108" windowWidth="23256" windowHeight="12576" tabRatio="589" xr2:uid="{00000000-000D-0000-FFFF-FFFF00000000}"/>
  </bookViews>
  <sheets>
    <sheet name="Office Building Prototype" sheetId="4" r:id="rId1"/>
    <sheet name="Healthcare Building Prototype" sheetId="5" r:id="rId2"/>
    <sheet name="Lodging Building" sheetId="13" r:id="rId3"/>
    <sheet name="Public AO&amp;R Building" sheetId="12" r:id="rId4"/>
    <sheet name="Warehouse Building" sheetId="11" r:id="rId5"/>
    <sheet name="Education Building " sheetId="10" r:id="rId6"/>
    <sheet name="Food Service Building " sheetId="9" r:id="rId7"/>
    <sheet name="Food Sales Building" sheetId="7" r:id="rId8"/>
    <sheet name="Non-Food Retail and Service " sheetId="6" r:id="rId9"/>
    <sheet name="All Building Types" sheetId="3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1" l="1"/>
  <c r="I6" i="4"/>
  <c r="E11" i="13"/>
  <c r="B28" i="13"/>
  <c r="D28" i="13" s="1"/>
  <c r="B27" i="13"/>
  <c r="D27" i="13" s="1"/>
  <c r="B26" i="13"/>
  <c r="B25" i="13"/>
  <c r="D25" i="13" s="1"/>
  <c r="B24" i="13"/>
  <c r="B23" i="13"/>
  <c r="D23" i="13" s="1"/>
  <c r="B22" i="13"/>
  <c r="D22" i="13" s="1"/>
  <c r="B21" i="13"/>
  <c r="D21" i="13" s="1"/>
  <c r="B20" i="13"/>
  <c r="B19" i="13"/>
  <c r="D19" i="13" s="1"/>
  <c r="B18" i="13"/>
  <c r="E11" i="12"/>
  <c r="B26" i="12"/>
  <c r="B25" i="12"/>
  <c r="B24" i="12"/>
  <c r="B23" i="12"/>
  <c r="B22" i="12"/>
  <c r="B21" i="12"/>
  <c r="B20" i="12"/>
  <c r="B19" i="12"/>
  <c r="B18" i="12"/>
  <c r="B22" i="11"/>
  <c r="D22" i="11" s="1"/>
  <c r="B21" i="11"/>
  <c r="D21" i="11" s="1"/>
  <c r="B20" i="11"/>
  <c r="B19" i="11"/>
  <c r="D19" i="11" s="1"/>
  <c r="B18" i="11"/>
  <c r="B29" i="10"/>
  <c r="E11" i="10"/>
  <c r="D27" i="10"/>
  <c r="B27" i="10"/>
  <c r="B26" i="10"/>
  <c r="B25" i="10"/>
  <c r="B24" i="10"/>
  <c r="B23" i="10"/>
  <c r="B22" i="10"/>
  <c r="B21" i="10"/>
  <c r="B20" i="10"/>
  <c r="B19" i="10"/>
  <c r="B18" i="10"/>
  <c r="E11" i="9"/>
  <c r="E11" i="7"/>
  <c r="E11" i="6"/>
  <c r="B24" i="9"/>
  <c r="B23" i="9"/>
  <c r="B22" i="9"/>
  <c r="B21" i="9"/>
  <c r="B20" i="9"/>
  <c r="B19" i="9"/>
  <c r="B18" i="9"/>
  <c r="B26" i="7"/>
  <c r="B25" i="7"/>
  <c r="B24" i="7"/>
  <c r="B23" i="7"/>
  <c r="B22" i="7"/>
  <c r="B21" i="7"/>
  <c r="D21" i="7"/>
  <c r="B20" i="7"/>
  <c r="B19" i="7"/>
  <c r="B18" i="7"/>
  <c r="D18" i="7" s="1"/>
  <c r="D27" i="6"/>
  <c r="B27" i="6"/>
  <c r="B26" i="6"/>
  <c r="B25" i="6"/>
  <c r="B24" i="6"/>
  <c r="B23" i="6"/>
  <c r="B22" i="6"/>
  <c r="D22" i="6" s="1"/>
  <c r="B21" i="6"/>
  <c r="D21" i="6" s="1"/>
  <c r="B20" i="6"/>
  <c r="B19" i="6"/>
  <c r="B18" i="6"/>
  <c r="D18" i="6"/>
  <c r="D19" i="6"/>
  <c r="D20" i="6"/>
  <c r="D23" i="6"/>
  <c r="D24" i="6"/>
  <c r="D25" i="6"/>
  <c r="D26" i="6"/>
  <c r="D24" i="13"/>
  <c r="D20" i="13"/>
  <c r="D18" i="13"/>
  <c r="B16" i="13"/>
  <c r="F7" i="13"/>
  <c r="E7" i="13"/>
  <c r="D7" i="13"/>
  <c r="I6" i="13"/>
  <c r="K6" i="13" s="1"/>
  <c r="L7" i="13" s="1"/>
  <c r="D5" i="13"/>
  <c r="F5" i="13" s="1"/>
  <c r="L5" i="13" s="1"/>
  <c r="D25" i="12"/>
  <c r="D24" i="12"/>
  <c r="D23" i="12"/>
  <c r="D22" i="12"/>
  <c r="D21" i="12"/>
  <c r="D20" i="12"/>
  <c r="D19" i="12"/>
  <c r="D18" i="12"/>
  <c r="B16" i="12"/>
  <c r="F7" i="12"/>
  <c r="E7" i="12"/>
  <c r="D7" i="12"/>
  <c r="I6" i="12"/>
  <c r="K6" i="12" s="1"/>
  <c r="F5" i="12"/>
  <c r="L5" i="12" s="1"/>
  <c r="D5" i="12"/>
  <c r="D18" i="11"/>
  <c r="B16" i="11"/>
  <c r="F7" i="11"/>
  <c r="E7" i="11"/>
  <c r="D7" i="11"/>
  <c r="I6" i="11"/>
  <c r="K6" i="11" s="1"/>
  <c r="D5" i="11"/>
  <c r="F5" i="11" s="1"/>
  <c r="L5" i="11" s="1"/>
  <c r="D25" i="10"/>
  <c r="D24" i="10"/>
  <c r="D23" i="10"/>
  <c r="D22" i="10"/>
  <c r="D21" i="10"/>
  <c r="D20" i="10"/>
  <c r="D19" i="10"/>
  <c r="D18" i="10"/>
  <c r="B16" i="10"/>
  <c r="F7" i="10"/>
  <c r="E7" i="10"/>
  <c r="D7" i="10"/>
  <c r="I6" i="10"/>
  <c r="K6" i="10" s="1"/>
  <c r="D5" i="10"/>
  <c r="F5" i="10" s="1"/>
  <c r="L5" i="10" s="1"/>
  <c r="D24" i="9"/>
  <c r="D23" i="9"/>
  <c r="D22" i="9"/>
  <c r="D21" i="9"/>
  <c r="D20" i="9"/>
  <c r="D19" i="9"/>
  <c r="D18" i="9"/>
  <c r="B16" i="9"/>
  <c r="F7" i="9"/>
  <c r="E7" i="9"/>
  <c r="D7" i="9"/>
  <c r="I6" i="9"/>
  <c r="K6" i="9" s="1"/>
  <c r="D5" i="9"/>
  <c r="F5" i="9" s="1"/>
  <c r="L5" i="9" s="1"/>
  <c r="D25" i="7"/>
  <c r="D24" i="7"/>
  <c r="D23" i="7"/>
  <c r="D22" i="7"/>
  <c r="D20" i="7"/>
  <c r="D19" i="7"/>
  <c r="B16" i="7"/>
  <c r="F7" i="7"/>
  <c r="E7" i="7"/>
  <c r="D7" i="7"/>
  <c r="I6" i="7"/>
  <c r="K6" i="7" s="1"/>
  <c r="D5" i="7"/>
  <c r="F5" i="7" s="1"/>
  <c r="L5" i="7" s="1"/>
  <c r="B16" i="6"/>
  <c r="F7" i="6"/>
  <c r="E7" i="6"/>
  <c r="D7" i="6"/>
  <c r="I6" i="6"/>
  <c r="K6" i="6" s="1"/>
  <c r="D5" i="6"/>
  <c r="F5" i="6" s="1"/>
  <c r="E11" i="5"/>
  <c r="B26" i="5"/>
  <c r="B25" i="5"/>
  <c r="B24" i="5"/>
  <c r="B23" i="5"/>
  <c r="B22" i="5"/>
  <c r="B21" i="5"/>
  <c r="B20" i="5"/>
  <c r="B19" i="5"/>
  <c r="B18" i="5"/>
  <c r="C26" i="5"/>
  <c r="D26" i="5"/>
  <c r="D25" i="5"/>
  <c r="D24" i="5"/>
  <c r="D23" i="5"/>
  <c r="D22" i="5"/>
  <c r="D21" i="5"/>
  <c r="C20" i="5"/>
  <c r="D20" i="5"/>
  <c r="D19" i="5"/>
  <c r="D18" i="5"/>
  <c r="B16" i="5"/>
  <c r="F7" i="5"/>
  <c r="E7" i="5"/>
  <c r="D7" i="5"/>
  <c r="I6" i="5"/>
  <c r="D5" i="5"/>
  <c r="F5" i="5" s="1"/>
  <c r="E7" i="4"/>
  <c r="D5" i="4"/>
  <c r="F5" i="4" s="1"/>
  <c r="B23" i="4"/>
  <c r="D23" i="4" s="1"/>
  <c r="B22" i="4"/>
  <c r="D22" i="4" s="1"/>
  <c r="D21" i="4"/>
  <c r="B20" i="4"/>
  <c r="D20" i="4" s="1"/>
  <c r="B19" i="4"/>
  <c r="D19" i="4" s="1"/>
  <c r="B18" i="4"/>
  <c r="D18" i="4" s="1"/>
  <c r="B17" i="4"/>
  <c r="D17" i="4" s="1"/>
  <c r="B16" i="4"/>
  <c r="D16" i="4" s="1"/>
  <c r="F7" i="4"/>
  <c r="D7" i="4"/>
  <c r="B3" i="3"/>
  <c r="D3" i="3" s="1"/>
  <c r="B4" i="3"/>
  <c r="D4" i="3"/>
  <c r="B5" i="3"/>
  <c r="D5" i="3" s="1"/>
  <c r="B6" i="3"/>
  <c r="D6" i="3" s="1"/>
  <c r="B7" i="3"/>
  <c r="D7" i="3"/>
  <c r="B8" i="3"/>
  <c r="D8" i="3" s="1"/>
  <c r="B9" i="3"/>
  <c r="D9" i="3" s="1"/>
  <c r="B10" i="3"/>
  <c r="D10" i="3" s="1"/>
  <c r="B11" i="3"/>
  <c r="D11" i="3" s="1"/>
  <c r="B12" i="3"/>
  <c r="D12" i="3"/>
  <c r="B17" i="3"/>
  <c r="D17" i="3"/>
  <c r="B18" i="3"/>
  <c r="D18" i="3"/>
  <c r="B19" i="3"/>
  <c r="D19" i="3"/>
  <c r="B20" i="3"/>
  <c r="D20" i="3"/>
  <c r="B21" i="3"/>
  <c r="D21" i="3" s="1"/>
  <c r="B22" i="3"/>
  <c r="D22" i="3"/>
  <c r="B23" i="3"/>
  <c r="D23" i="3" s="1"/>
  <c r="B24" i="3"/>
  <c r="D24" i="3" s="1"/>
  <c r="B25" i="3"/>
  <c r="D25" i="3" s="1"/>
  <c r="B30" i="3"/>
  <c r="D30" i="3" s="1"/>
  <c r="B31" i="3"/>
  <c r="D31" i="3"/>
  <c r="B32" i="3"/>
  <c r="D32" i="3" s="1"/>
  <c r="B33" i="3"/>
  <c r="D33" i="3" s="1"/>
  <c r="B34" i="3"/>
  <c r="D34" i="3" s="1"/>
  <c r="B35" i="3"/>
  <c r="D35" i="3" s="1"/>
  <c r="B36" i="3"/>
  <c r="D36" i="3" s="1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5" i="3"/>
  <c r="D55" i="3" s="1"/>
  <c r="B56" i="3"/>
  <c r="D56" i="3" s="1"/>
  <c r="B57" i="3"/>
  <c r="D57" i="3" s="1"/>
  <c r="B58" i="3"/>
  <c r="D58" i="3" s="1"/>
  <c r="B59" i="3"/>
  <c r="D59" i="3"/>
  <c r="B64" i="3"/>
  <c r="D64" i="3"/>
  <c r="B65" i="3"/>
  <c r="D65" i="3"/>
  <c r="B66" i="3"/>
  <c r="D66" i="3" s="1"/>
  <c r="C66" i="3"/>
  <c r="B67" i="3"/>
  <c r="D67" i="3" s="1"/>
  <c r="B68" i="3"/>
  <c r="D68" i="3"/>
  <c r="B69" i="3"/>
  <c r="D69" i="3"/>
  <c r="B70" i="3"/>
  <c r="D70" i="3" s="1"/>
  <c r="B71" i="3"/>
  <c r="D71" i="3" s="1"/>
  <c r="B72" i="3"/>
  <c r="C72" i="3"/>
  <c r="D72" i="3"/>
  <c r="B77" i="3"/>
  <c r="D77" i="3"/>
  <c r="B78" i="3"/>
  <c r="D78" i="3"/>
  <c r="B79" i="3"/>
  <c r="D79" i="3" s="1"/>
  <c r="B80" i="3"/>
  <c r="D80" i="3" s="1"/>
  <c r="B81" i="3"/>
  <c r="D81" i="3"/>
  <c r="B82" i="3"/>
  <c r="D82" i="3" s="1"/>
  <c r="B83" i="3"/>
  <c r="D83" i="3"/>
  <c r="B84" i="3"/>
  <c r="D84" i="3"/>
  <c r="B85" i="3"/>
  <c r="D85" i="3" s="1"/>
  <c r="B90" i="3"/>
  <c r="D90" i="3" s="1"/>
  <c r="B91" i="3"/>
  <c r="D91" i="3" s="1"/>
  <c r="D101" i="3" s="1"/>
  <c r="B92" i="3"/>
  <c r="D92" i="3"/>
  <c r="B93" i="3"/>
  <c r="C93" i="3"/>
  <c r="D93" i="3"/>
  <c r="B94" i="3"/>
  <c r="D94" i="3" s="1"/>
  <c r="B95" i="3"/>
  <c r="D95" i="3" s="1"/>
  <c r="B96" i="3"/>
  <c r="D96" i="3" s="1"/>
  <c r="B97" i="3"/>
  <c r="D97" i="3" s="1"/>
  <c r="B98" i="3"/>
  <c r="D98" i="3"/>
  <c r="B99" i="3"/>
  <c r="D99" i="3"/>
  <c r="B100" i="3"/>
  <c r="D100" i="3" s="1"/>
  <c r="D26" i="13" l="1"/>
  <c r="B30" i="13" s="1"/>
  <c r="L7" i="12"/>
  <c r="D26" i="12"/>
  <c r="B29" i="12" s="1"/>
  <c r="D20" i="11"/>
  <c r="B24" i="11" s="1"/>
  <c r="L7" i="11"/>
  <c r="L7" i="10"/>
  <c r="D26" i="10"/>
  <c r="L7" i="9"/>
  <c r="B30" i="6"/>
  <c r="L7" i="7"/>
  <c r="D26" i="7"/>
  <c r="B27" i="9"/>
  <c r="L5" i="6"/>
  <c r="L7" i="6"/>
  <c r="B24" i="4"/>
  <c r="E11" i="4" s="1"/>
  <c r="B27" i="5"/>
  <c r="K6" i="5"/>
  <c r="L5" i="5" s="1"/>
  <c r="J6" i="5"/>
  <c r="L7" i="5"/>
  <c r="B29" i="5"/>
  <c r="B28" i="5"/>
  <c r="E10" i="5" s="1"/>
  <c r="K6" i="4"/>
  <c r="L5" i="4" s="1"/>
  <c r="D51" i="3"/>
  <c r="D37" i="3"/>
  <c r="D86" i="3"/>
  <c r="D60" i="3"/>
  <c r="D73" i="3"/>
  <c r="D13" i="3"/>
  <c r="D26" i="3"/>
  <c r="B29" i="7" l="1"/>
  <c r="B31" i="7" s="1"/>
  <c r="B32" i="6"/>
  <c r="B31" i="6"/>
  <c r="E10" i="6" s="1"/>
  <c r="B31" i="13"/>
  <c r="E10" i="13" s="1"/>
  <c r="J6" i="13"/>
  <c r="B32" i="13"/>
  <c r="B31" i="12"/>
  <c r="J6" i="12"/>
  <c r="B30" i="12"/>
  <c r="E10" i="12" s="1"/>
  <c r="B26" i="11"/>
  <c r="J6" i="11"/>
  <c r="B25" i="11"/>
  <c r="E10" i="11" s="1"/>
  <c r="B31" i="10"/>
  <c r="J6" i="10"/>
  <c r="B30" i="10"/>
  <c r="E10" i="10" s="1"/>
  <c r="B29" i="9"/>
  <c r="J6" i="9"/>
  <c r="B28" i="9"/>
  <c r="E10" i="9" s="1"/>
  <c r="J6" i="6"/>
  <c r="B26" i="4"/>
  <c r="B25" i="4"/>
  <c r="J6" i="4"/>
  <c r="E10" i="4"/>
  <c r="L7" i="4"/>
  <c r="B30" i="7" l="1"/>
  <c r="E10" i="7" s="1"/>
  <c r="J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tc={62622FE9-5CDF-4E56-ABEE-251994719C97}</author>
    <author>Armando Lopez</author>
  </authors>
  <commentList>
    <comment ref="B3" authorId="0" shapeId="0" xr:uid="{62622FE9-5CDF-4E56-ABEE-251994719C9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our tested simulation we estimated a medium sized office building to be about 160,000ft^2</t>
      </text>
    </comment>
    <comment ref="H4" authorId="1" shapeId="0" xr:uid="{2F67E2DE-4895-43C0-BFEF-ABD518BC4A0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This if for a winter day. More energy would be generated in the summer time</t>
        </r>
      </text>
    </comment>
    <comment ref="I4" authorId="1" shapeId="0" xr:uid="{E994115F-0530-4B58-B778-EC0D86DD276B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More energy would be generated by solar in the summer so we estimate a 20% markup from winter data * 365days</t>
        </r>
      </text>
    </comment>
    <comment ref="A24" authorId="1" shapeId="0" xr:uid="{729B2240-C48D-4BBB-8390-E3F0CB8B94E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4" authorId="1" shapeId="0" xr:uid="{7D0F9910-E5A9-44EF-ABD3-8C0E0202FC78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25" authorId="1" shapeId="0" xr:uid="{BF0306DD-FFBC-46DE-B40C-7C38EAF8D8B0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5" authorId="1" shapeId="0" xr:uid="{FB736589-4C61-4DE9-AF51-2995AE51F9C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26" authorId="1" shapeId="0" xr:uid="{EFC61CAF-B3B6-43DA-8BA3-A5B035202CA0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kWh * $/kWh
Average Commercial Electricity Rate in SLO ($/KWh) = 0.1408$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Lopez</author>
  </authors>
  <commentList>
    <comment ref="A3" authorId="0" shapeId="0" xr:uid="{1DBF0CC6-683B-4E68-BC3F-51C5E355D2A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Possibility that this can be estimated with satelite images?</t>
        </r>
      </text>
    </comment>
    <comment ref="H4" authorId="0" shapeId="0" xr:uid="{E9F9B262-363D-4F16-8C35-034E99C55E8B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This if for a winter day. More energy would be generated in the summer time</t>
        </r>
      </text>
    </comment>
    <comment ref="I4" authorId="0" shapeId="0" xr:uid="{5AA9F5C0-E899-47B1-8BC5-76ED50E357D1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More energy would be generated by solar in the summer so we estimate a 20% markup from winter data * 365days</t>
        </r>
      </text>
    </comment>
    <comment ref="A5" authorId="0" shapeId="0" xr:uid="{90F37EF9-E025-4A5F-A545-765F950F5FC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Really good potential candidate for GIS information to input this data. Existing applications</t>
        </r>
      </text>
    </comment>
    <comment ref="A14" authorId="0" shapeId="0" xr:uid="{2B93D7D5-A3B9-422E-A8A4-88DDCF11E8CF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10% of a facility’s total load. Time Online: 100%. Warrants a 20% adder to electricity bill </t>
        </r>
      </text>
    </comment>
    <comment ref="B14" authorId="0" shapeId="0" xr:uid="{58647F1D-5E50-4DDE-9685-E07755D6B589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Solar is not able to provide power on its own for a full day</t>
        </r>
      </text>
    </comment>
    <comment ref="A15" authorId="0" shapeId="0" xr:uid="{B9DE180A-B750-4FBD-86E0-F1BFA760EFC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About 15% of the total load. Time Online: 80% (at least). Warrants a 7.5% adder to electricity bill </t>
        </r>
      </text>
    </comment>
    <comment ref="A16" authorId="0" shapeId="0" xr:uid="{5F541493-E59C-497C-B6FC-91A7A6F2DC8C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Usually about 75% of the total load. Time Online: 25% (at least).</t>
        </r>
      </text>
    </comment>
    <comment ref="A27" authorId="0" shapeId="0" xr:uid="{49933D42-57D2-448E-AC91-0338C89621F0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7" authorId="0" shapeId="0" xr:uid="{22498DE7-E725-47FF-B2B4-5AFBE8299C1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28" authorId="0" shapeId="0" xr:uid="{C8768A85-00C0-4F97-BB5F-87CC3D88C71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8" authorId="0" shapeId="0" xr:uid="{FCB6B737-1CCA-42E8-8200-CEDBBAA989AF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29" authorId="0" shapeId="0" xr:uid="{E6C73E70-81CD-412D-AE91-02EB13B3855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kWh * $/kWh
Average Commercial Electricity Rate in SLO ($/KWh) = 0.1408$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Lopez</author>
  </authors>
  <commentList>
    <comment ref="A3" authorId="0" shapeId="0" xr:uid="{205E264D-9982-4A95-ACC8-FFFEA297A004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Possibility that this can be estimated with satelite images?</t>
        </r>
      </text>
    </comment>
    <comment ref="H4" authorId="0" shapeId="0" xr:uid="{6F3874A3-98C5-44DC-BD79-EC1D42FBDC6C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This if for a winter day. More energy would be generated in the summer time</t>
        </r>
      </text>
    </comment>
    <comment ref="I4" authorId="0" shapeId="0" xr:uid="{67EF7C55-7B31-4C94-AE99-F95A1E7C4BDF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More energy would be generated by solar in the summer so we estimate a 20% markup from winter data * 365days</t>
        </r>
      </text>
    </comment>
    <comment ref="A5" authorId="0" shapeId="0" xr:uid="{AFE33B1F-5014-4065-AC5A-BC410078C284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Really good potential candidate for GIS information to input this data. Existing applications</t>
        </r>
      </text>
    </comment>
    <comment ref="A14" authorId="0" shapeId="0" xr:uid="{7A19E16E-05D0-4B0A-9D72-78BBB1B684A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10% of a facility’s total load. Time Online: 100%. Warrants a 20% adder to electricity bill </t>
        </r>
      </text>
    </comment>
    <comment ref="B14" authorId="0" shapeId="0" xr:uid="{3A1F3635-C583-4CAE-9795-49EC51578670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Solar is not able to provide power on its own for a full day</t>
        </r>
      </text>
    </comment>
    <comment ref="A15" authorId="0" shapeId="0" xr:uid="{29502B95-54D8-405A-8ED2-115331537C7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About 15% of the total load. Time Online: 80% (at least). Warrants a 7.5% adder to electricity bill </t>
        </r>
      </text>
    </comment>
    <comment ref="A16" authorId="0" shapeId="0" xr:uid="{C18EE327-C829-4C23-8017-975FA3D89F95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Usually about 75% of the total load. Time Online: 25% (at least).</t>
        </r>
      </text>
    </comment>
    <comment ref="A30" authorId="0" shapeId="0" xr:uid="{0FCB8312-852A-4A1D-9D09-1B8EB96EC30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30" authorId="0" shapeId="0" xr:uid="{920ABD48-AE38-4A38-86C5-C5F0D1E62687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1" authorId="0" shapeId="0" xr:uid="{3D0896F9-F46B-4BCE-8768-7F30C95A588D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31" authorId="0" shapeId="0" xr:uid="{A9B20C26-5104-4227-818C-5C19C010B05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2" authorId="0" shapeId="0" xr:uid="{9D9CFA3F-4954-4206-B127-DA39D2599465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kWh * $/kWh
Average Commercial Electricity Rate in SLO ($/KWh) = 0.1408$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Lopez</author>
  </authors>
  <commentList>
    <comment ref="A3" authorId="0" shapeId="0" xr:uid="{66D64505-A5EE-414B-B4F1-3B46398BB37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Possibility that this can be estimated with satelite images?</t>
        </r>
      </text>
    </comment>
    <comment ref="H4" authorId="0" shapeId="0" xr:uid="{DBC657DB-ACB2-45B8-ABE9-5C3B20536978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This if for a winter day. More energy would be generated in the summer time</t>
        </r>
      </text>
    </comment>
    <comment ref="I4" authorId="0" shapeId="0" xr:uid="{3DD93B9B-F4CD-4485-8F23-185A17DEC38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More energy would be generated by solar in the summer so we estimate a 20% markup from winter data * 365days</t>
        </r>
      </text>
    </comment>
    <comment ref="A5" authorId="0" shapeId="0" xr:uid="{6CA36A6D-A163-4940-B7ED-1715E76F61D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Really good potential candidate for GIS information to input this data. Existing applications</t>
        </r>
      </text>
    </comment>
    <comment ref="A14" authorId="0" shapeId="0" xr:uid="{8A19499E-1C90-4592-8FAB-B8E5ECAD986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10% of a facility’s total load. Time Online: 100%. Warrants a 20% adder to electricity bill </t>
        </r>
      </text>
    </comment>
    <comment ref="B14" authorId="0" shapeId="0" xr:uid="{D6A2F27E-9716-43D0-9736-A1471D8D3A37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Solar is not able to provide power on its own for a full day</t>
        </r>
      </text>
    </comment>
    <comment ref="A15" authorId="0" shapeId="0" xr:uid="{5AAA99AB-8347-4D50-9DBD-949A6A35D38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About 15% of the total load. Time Online: 80% (at least). Warrants a 7.5% adder to electricity bill </t>
        </r>
      </text>
    </comment>
    <comment ref="A16" authorId="0" shapeId="0" xr:uid="{75A6048D-ADFC-4E55-9498-57F348B7286F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Usually about 75% of the total load. Time Online: 25% (at least).</t>
        </r>
      </text>
    </comment>
    <comment ref="A29" authorId="0" shapeId="0" xr:uid="{D8811A95-3521-4A60-B1CF-09B234B0F5F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9" authorId="0" shapeId="0" xr:uid="{1EC67CB5-BD16-44ED-871A-2B430E543794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0" authorId="0" shapeId="0" xr:uid="{D38E9CE6-D7E4-4BAD-905E-A0B6E9456C4F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30" authorId="0" shapeId="0" xr:uid="{BD0C5972-C202-4236-B198-7F942A6F186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1" authorId="0" shapeId="0" xr:uid="{FC41A3AF-490B-4BC3-AFE3-74C3A413DF9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kWh * $/kWh
Average Commercial Electricity Rate in SLO ($/KWh) = 0.1408$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Lopez</author>
  </authors>
  <commentList>
    <comment ref="A3" authorId="0" shapeId="0" xr:uid="{7D9948A8-235A-4AA6-BA3E-8E3D225968FD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Possibility that this can be estimated with satelite images?</t>
        </r>
      </text>
    </comment>
    <comment ref="H4" authorId="0" shapeId="0" xr:uid="{39472635-57CE-48D8-A3CE-F31BB464650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This if for a winter day. More energy would be generated in the summer time</t>
        </r>
      </text>
    </comment>
    <comment ref="I4" authorId="0" shapeId="0" xr:uid="{BBABBCC1-6D5A-427B-B6F0-F0FEA1177BB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More energy would be generated by solar in the summer so we estimate a 20% markup from winter data * 365days</t>
        </r>
      </text>
    </comment>
    <comment ref="A5" authorId="0" shapeId="0" xr:uid="{8E81738C-5F71-46BD-BD1F-87DE26943A2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Really good potential candidate for GIS information to input this data. Existing applications</t>
        </r>
      </text>
    </comment>
    <comment ref="A14" authorId="0" shapeId="0" xr:uid="{DCDB7B79-35BA-4D32-81B4-555379C09C5F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10% of a facility’s total load. Time Online: 100%. Warrants a 20% adder to electricity bill </t>
        </r>
      </text>
    </comment>
    <comment ref="B14" authorId="0" shapeId="0" xr:uid="{13052C9E-80A7-4C93-AD67-59B55C7716B0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Solar is not able to provide power on its own for a full day</t>
        </r>
      </text>
    </comment>
    <comment ref="A15" authorId="0" shapeId="0" xr:uid="{C6FA64BD-C9BD-47CD-8E66-DC93921DEAA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About 15% of the total load. Time Online: 80% (at least). Warrants a 7.5% adder to electricity bill </t>
        </r>
      </text>
    </comment>
    <comment ref="A16" authorId="0" shapeId="0" xr:uid="{0B058CE0-0CBD-4729-8F80-40BFB25EEE3A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Usually about 75% of the total load. Time Online: 25% (at least).</t>
        </r>
      </text>
    </comment>
    <comment ref="A24" authorId="0" shapeId="0" xr:uid="{DE112C68-AF5B-4E1B-91CB-C3BA7C1A71B5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4" authorId="0" shapeId="0" xr:uid="{F7DE72E6-F5D1-401F-A7FA-C2A3B8843488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25" authorId="0" shapeId="0" xr:uid="{5F293FED-AD55-477A-BE9D-A462D2D71C81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5" authorId="0" shapeId="0" xr:uid="{7FC016ED-6C65-4B97-89C2-A95FFFCC635D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26" authorId="0" shapeId="0" xr:uid="{57B307B7-6208-42AD-AA1A-467773BDCF0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kWh * $/kWh
Average Commercial Electricity Rate in SLO ($/KWh) = 0.1408$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Lopez</author>
  </authors>
  <commentList>
    <comment ref="A3" authorId="0" shapeId="0" xr:uid="{8E500857-AD3F-4D6C-B885-4247C87D4F8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Possibility that this can be estimated with satelite images?</t>
        </r>
      </text>
    </comment>
    <comment ref="H4" authorId="0" shapeId="0" xr:uid="{B3422038-5CF2-41E6-9F65-0CA9E331F57A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This if for a winter day. More energy would be generated in the summer time</t>
        </r>
      </text>
    </comment>
    <comment ref="I4" authorId="0" shapeId="0" xr:uid="{F6C0F52C-8238-4B67-AB9C-D276CB8E9A6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More energy would be generated by solar in the summer so we estimate a 20% markup from winter data * 365days</t>
        </r>
      </text>
    </comment>
    <comment ref="A5" authorId="0" shapeId="0" xr:uid="{55530864-A683-460D-9ED7-AA9D150C5F84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Really good potential candidate for GIS information to input this data. Existing applications</t>
        </r>
      </text>
    </comment>
    <comment ref="A14" authorId="0" shapeId="0" xr:uid="{64F1910F-25C7-4B3E-BD20-0D22A93343F5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10% of a facility’s total load. Time Online: 100%. Warrants a 20% adder to electricity bill </t>
        </r>
      </text>
    </comment>
    <comment ref="B14" authorId="0" shapeId="0" xr:uid="{46555A8C-7354-445A-82F7-3DA5857DD54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Solar is not able to provide power on its own for a full day</t>
        </r>
      </text>
    </comment>
    <comment ref="A15" authorId="0" shapeId="0" xr:uid="{341138B0-2DBC-41D6-98CA-BF9235D671A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About 15% of the total load. Time Online: 80% (at least). Warrants a 7.5% adder to electricity bill </t>
        </r>
      </text>
    </comment>
    <comment ref="A16" authorId="0" shapeId="0" xr:uid="{D1B892F4-05CF-4866-A4DC-2F7341C4DADD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Usually about 75% of the total load. Time Online: 25% (at least).</t>
        </r>
      </text>
    </comment>
    <comment ref="A29" authorId="0" shapeId="0" xr:uid="{63C4CDD7-C4BA-4412-8423-F085AD8DDE05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9" authorId="0" shapeId="0" xr:uid="{AC9102A6-AD64-4800-AB64-758B2A1A958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0" authorId="0" shapeId="0" xr:uid="{72BB01DE-CF89-420E-9D8A-077E78B26ED9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30" authorId="0" shapeId="0" xr:uid="{145438AD-5B3B-4752-A889-0E0CCF87CDE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1" authorId="0" shapeId="0" xr:uid="{1EFB1D3D-06A8-4172-B3C7-65855FB34CF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kWh * $/kWh
Average Commercial Electricity Rate in SLO ($/KWh) = 0.1408$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Lopez</author>
  </authors>
  <commentList>
    <comment ref="A3" authorId="0" shapeId="0" xr:uid="{61EEC33B-0600-49AE-A765-DAE82079E46B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Possibility that this can be estimated with satelite images?</t>
        </r>
      </text>
    </comment>
    <comment ref="H4" authorId="0" shapeId="0" xr:uid="{82BA7B9A-23E3-44A8-9214-4BB5F23FC81A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This if for a winter day. More energy would be generated in the summer time</t>
        </r>
      </text>
    </comment>
    <comment ref="I4" authorId="0" shapeId="0" xr:uid="{96474EFD-4619-4B05-92F9-9E62AAF82E6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More energy would be generated by solar in the summer so we estimate a 20% markup from winter data * 365days</t>
        </r>
      </text>
    </comment>
    <comment ref="A5" authorId="0" shapeId="0" xr:uid="{AD29798B-5D19-45A8-A9BC-B0156F806B05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Really good potential candidate for GIS information to input this data. Existing applications</t>
        </r>
      </text>
    </comment>
    <comment ref="A14" authorId="0" shapeId="0" xr:uid="{DABF0F8C-F8B1-4DF5-8ED0-91044D487D41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10% of a facility’s total load. Time Online: 100%. Warrants a 20% adder to electricity bill </t>
        </r>
      </text>
    </comment>
    <comment ref="B14" authorId="0" shapeId="0" xr:uid="{2763BD0E-6169-44EF-BC36-BF3BA9CB9C8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Solar is not able to provide power on its own for a full day</t>
        </r>
      </text>
    </comment>
    <comment ref="A15" authorId="0" shapeId="0" xr:uid="{DD5FA869-AF51-4DE9-994D-946589F592F0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About 15% of the total load. Time Online: 80% (at least). Warrants a 7.5% adder to electricity bill </t>
        </r>
      </text>
    </comment>
    <comment ref="A16" authorId="0" shapeId="0" xr:uid="{A2561B6C-2EFB-4F47-886A-EC4552F0F31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Usually about 75% of the total load. Time Online: 25% (at least).</t>
        </r>
      </text>
    </comment>
    <comment ref="A27" authorId="0" shapeId="0" xr:uid="{DAC381D1-9CEC-430C-8A46-EC6981929A1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7" authorId="0" shapeId="0" xr:uid="{1C180282-5B12-4623-B225-61C239ADE9A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28" authorId="0" shapeId="0" xr:uid="{870670FE-BFFE-42CD-8887-2F8D2A8C06BB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8" authorId="0" shapeId="0" xr:uid="{2C3EB1C9-7404-4851-B1C2-26C6C84463CD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29" authorId="0" shapeId="0" xr:uid="{78CFB622-1BBD-42FF-B8DD-CBEF34158557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kWh * $/kWh
Average Commercial Electricity Rate in SLO ($/KWh) = 0.1408$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Lopez</author>
  </authors>
  <commentList>
    <comment ref="A3" authorId="0" shapeId="0" xr:uid="{DF9B6AB3-ABE5-4F3E-AD45-AC31AECDBBC5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Possibility that this can be estimated with satelite images?</t>
        </r>
      </text>
    </comment>
    <comment ref="H4" authorId="0" shapeId="0" xr:uid="{EB2AD31A-1E27-4EEF-98E2-CB329FD47689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This if for a winter day. More energy would be generated in the summer time</t>
        </r>
      </text>
    </comment>
    <comment ref="I4" authorId="0" shapeId="0" xr:uid="{9D29D365-9208-4790-AF9F-D2C2402930C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More energy would be generated by solar in the summer so we estimate a 20% markup from winter data * 365days</t>
        </r>
      </text>
    </comment>
    <comment ref="A5" authorId="0" shapeId="0" xr:uid="{207EC0E2-366B-427C-AD91-CF00FF79746B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Really good potential candidate for GIS information to input this data. Existing applications</t>
        </r>
      </text>
    </comment>
    <comment ref="A14" authorId="0" shapeId="0" xr:uid="{852898FE-E07F-4062-BE85-22FCFCAF85C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10% of a facility’s total load. Time Online: 100%. Warrants a 20% adder to electricity bill </t>
        </r>
      </text>
    </comment>
    <comment ref="B14" authorId="0" shapeId="0" xr:uid="{C26E9C0D-548E-4E7D-AEA5-B351371457B7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Solar is not able to provide power on its own for a full day</t>
        </r>
      </text>
    </comment>
    <comment ref="A15" authorId="0" shapeId="0" xr:uid="{E545F643-60FA-4228-A728-B524BD8958C7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About 15% of the total load. Time Online: 80% (at least). Warrants a 7.5% adder to electricity bill </t>
        </r>
      </text>
    </comment>
    <comment ref="A16" authorId="0" shapeId="0" xr:uid="{B4E9B83C-A87D-45BA-93DE-33C3FBCDE507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Usually about 75% of the total load. Time Online: 25% (at least).</t>
        </r>
      </text>
    </comment>
    <comment ref="A29" authorId="0" shapeId="0" xr:uid="{AD336348-7AA9-4E12-AED9-A66B47F11949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29" authorId="0" shapeId="0" xr:uid="{55A1ABCC-733A-40B0-9015-7BCD648C7123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0" authorId="0" shapeId="0" xr:uid="{290FD522-83F3-4C26-B28F-9E73A27B5B82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30" authorId="0" shapeId="0" xr:uid="{64F9B061-1AEF-4379-BE3F-2BDE6076F8C5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1" authorId="0" shapeId="0" xr:uid="{D674CE49-76F2-4935-ABE6-00D519EDBE04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kWh * $/kWh
Average Commercial Electricity Rate in SLO ($/KWh) = 0.1408$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Armando Lopez</author>
  </authors>
  <commentList>
    <comment ref="A3" authorId="0" shapeId="0" xr:uid="{D08CDD5F-DD4D-4DB8-A1F2-3D648BE6120A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Possibility that this can be estimated with satelite images?</t>
        </r>
      </text>
    </comment>
    <comment ref="H4" authorId="0" shapeId="0" xr:uid="{6B3DA443-7F5D-4FD5-A5C0-30A637BACB5C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This if for a winter day. More energy would be generated in the summer time</t>
        </r>
      </text>
    </comment>
    <comment ref="I4" authorId="0" shapeId="0" xr:uid="{4083089C-906F-4508-8417-72480C2F7629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More energy would be generated by solar in the summer so we estimate a 20% markup from winter data * 365days</t>
        </r>
      </text>
    </comment>
    <comment ref="A5" authorId="0" shapeId="0" xr:uid="{F56567CF-7FCB-4FA6-AB0B-43DC972819FB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Really good potential candidate for GIS information to input this data. Existing applications</t>
        </r>
      </text>
    </comment>
    <comment ref="A14" authorId="0" shapeId="0" xr:uid="{32282B9B-74E8-4405-A13D-4779428049EE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10% of a facility’s total load. Time Online: 100%. Warrants a 20% adder to electricity bill </t>
        </r>
      </text>
    </comment>
    <comment ref="B14" authorId="0" shapeId="0" xr:uid="{51CFD844-1F8A-4155-8426-FDDCF8B33475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Solar is not able to provide power on its own for a full day</t>
        </r>
      </text>
    </comment>
    <comment ref="A15" authorId="0" shapeId="0" xr:uid="{2029D25D-D986-421F-8FDC-4F7BAAF0E214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About 15% of the total load. Time Online: 80% (at least). Warrants a 7.5% adder to electricity bill </t>
        </r>
      </text>
    </comment>
    <comment ref="A16" authorId="0" shapeId="0" xr:uid="{FC624460-858C-43C4-9437-6469164A9398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Usually about 75% of the total load. Time Online: 25% (at least).</t>
        </r>
      </text>
    </comment>
    <comment ref="A30" authorId="0" shapeId="0" xr:uid="{5713ADFB-3D76-44C0-8557-CC22CC00EC1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30" authorId="0" shapeId="0" xr:uid="{B3B8097C-4284-4067-9C8F-522214FF6CCA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1" authorId="0" shapeId="0" xr:uid="{5BD63E1F-D4A7-4B74-95BB-ABA9E9B8CEE0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D31" authorId="0" shapeId="0" xr:uid="{7A8EF47E-DF6C-4302-BA5D-B13BECF3629D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Total AEC based on Office building size input
</t>
        </r>
      </text>
    </comment>
    <comment ref="A32" authorId="0" shapeId="0" xr:uid="{6E2B010E-F666-4FE8-A17A-12A80B914456}">
      <text>
        <r>
          <rPr>
            <b/>
            <sz val="9"/>
            <color indexed="81"/>
            <rFont val="Tahoma"/>
            <family val="2"/>
          </rPr>
          <t>Armando Lopez:</t>
        </r>
        <r>
          <rPr>
            <sz val="9"/>
            <color indexed="81"/>
            <rFont val="Tahoma"/>
            <family val="2"/>
          </rPr>
          <t xml:space="preserve">
kWh * $/kWh
Average Commercial Electricity Rate in SLO ($/KWh) = 0.1408$ </t>
        </r>
      </text>
    </comment>
  </commentList>
</comments>
</file>

<file path=xl/sharedStrings.xml><?xml version="1.0" encoding="utf-8"?>
<sst xmlns="http://schemas.openxmlformats.org/spreadsheetml/2006/main" count="570" uniqueCount="83">
  <si>
    <t>Level 1 - Solar</t>
  </si>
  <si>
    <t>Inputs:</t>
  </si>
  <si>
    <t>Input here:</t>
  </si>
  <si>
    <t>Area of Office Building(ft^2)</t>
  </si>
  <si>
    <t>Input System Size into Matlab</t>
  </si>
  <si>
    <t>Input from Matlab</t>
  </si>
  <si>
    <t>Outputs:</t>
  </si>
  <si>
    <t>Estimated Max Solar Size (KW)</t>
  </si>
  <si>
    <t>Estimated needed space for system (ft^2)</t>
  </si>
  <si>
    <t>Cost of System ($)</t>
  </si>
  <si>
    <t>Energy Generated (KWh/day)</t>
  </si>
  <si>
    <t>Energy Generated (KWh/yr)</t>
  </si>
  <si>
    <t>New AEC (kWh/yr)</t>
  </si>
  <si>
    <t>Energy Savings ($/yr)</t>
  </si>
  <si>
    <t>Payback Period (years)</t>
  </si>
  <si>
    <t>1. Size of available solar space (ft^2)</t>
  </si>
  <si>
    <t>N/A</t>
  </si>
  <si>
    <t>or</t>
  </si>
  <si>
    <t>2. Commercial Solar Size (KW)</t>
  </si>
  <si>
    <t>Input  into Matlab</t>
  </si>
  <si>
    <t>Average Energy Consumption per day (KWh)</t>
  </si>
  <si>
    <t>Suggested Resiliency Percentage</t>
  </si>
  <si>
    <t>Office Building Case Study</t>
  </si>
  <si>
    <t>Units per 100,000 sqft</t>
  </si>
  <si>
    <t>UEC (kWh/yr)</t>
  </si>
  <si>
    <t>AEC (kWh/yr)</t>
  </si>
  <si>
    <t>Cooking Equipment</t>
  </si>
  <si>
    <t>Distribution Transformers</t>
  </si>
  <si>
    <t>Monitors</t>
  </si>
  <si>
    <t>Office Equipment</t>
  </si>
  <si>
    <t>Personal Computers (PC)</t>
  </si>
  <si>
    <t>Refrigeration (residential)</t>
  </si>
  <si>
    <t>Refrigeration (commercial)</t>
  </si>
  <si>
    <t>Vertical Transport (elevators/escalators)</t>
  </si>
  <si>
    <t>Total AEC (kWh/yr)</t>
  </si>
  <si>
    <t>Total AEC (kWh/day)</t>
  </si>
  <si>
    <t>Average Cost ($/yr)</t>
  </si>
  <si>
    <t>Commercially Available Systems</t>
  </si>
  <si>
    <t>Average system size (ft^2/KW)</t>
  </si>
  <si>
    <t>Size of Panel(ft^2)</t>
  </si>
  <si>
    <t>efficiency (%)</t>
  </si>
  <si>
    <t>STC Ratings</t>
  </si>
  <si>
    <t>SunPower X-Series Commercial SPR-X22-360-COM</t>
  </si>
  <si>
    <t>Average Cost of Solar ($/KW)</t>
  </si>
  <si>
    <t>Peak Solar Hours - Fixed Tilt - SLO</t>
  </si>
  <si>
    <t>Cost of System</t>
  </si>
  <si>
    <t>Does it meet Tier 1 Resiliency?</t>
  </si>
  <si>
    <t>Not possible with solar</t>
  </si>
  <si>
    <t>Does it meet Tier 2 Resiliency?</t>
  </si>
  <si>
    <t>Does it meet Tier 3 Resiliency?</t>
  </si>
  <si>
    <t>Healthcare Building Case Study</t>
  </si>
  <si>
    <t>Ice Machines</t>
  </si>
  <si>
    <t>Medical Equipment</t>
  </si>
  <si>
    <t>Personal Computers (PCs)</t>
  </si>
  <si>
    <t>Refrigeration (walk-in)</t>
  </si>
  <si>
    <t>Vertical Transport - Elevators and Escalators</t>
  </si>
  <si>
    <t>Lodging Building Case Study</t>
  </si>
  <si>
    <t>Laundry</t>
  </si>
  <si>
    <t>Slot Machines</t>
  </si>
  <si>
    <t>Televisions</t>
  </si>
  <si>
    <t xml:space="preserve">Vertical Transport - Elevators </t>
  </si>
  <si>
    <t>Public AO&amp;R Building Case Study</t>
  </si>
  <si>
    <t>Arcades</t>
  </si>
  <si>
    <t>Fitness Equipment</t>
  </si>
  <si>
    <t>Non-road Vehicles</t>
  </si>
  <si>
    <t>Vending Machines</t>
  </si>
  <si>
    <t>Warehouse Building Case Study</t>
  </si>
  <si>
    <t xml:space="preserve">Refrigeration </t>
  </si>
  <si>
    <t>Education Building Case Study</t>
  </si>
  <si>
    <t>Food Service Building Case Study</t>
  </si>
  <si>
    <t>Food Sales Building Case Study</t>
  </si>
  <si>
    <t>Automated Teller Machines (ATM)</t>
  </si>
  <si>
    <t>Refrigeration (central)</t>
  </si>
  <si>
    <t xml:space="preserve">Non-Food Retail and Service Building </t>
  </si>
  <si>
    <t>User Input - Area of Non-Food Retail and Service Buildings (ft^2)</t>
  </si>
  <si>
    <t>Total</t>
  </si>
  <si>
    <t>User Input - Area of Food Sales Buildings (ft^2)</t>
  </si>
  <si>
    <t>User Input - Area of Food Service Buildings (ft^2)</t>
  </si>
  <si>
    <t>User Input - Area of Education Buildings (ft^2)</t>
  </si>
  <si>
    <t>User Input - Area of Warehouse Buildings (ft^2)</t>
  </si>
  <si>
    <t>User Input - Area of Healthcare Buildings (ft^2)</t>
  </si>
  <si>
    <t>User Input - Area of Public AO&amp;R Buildings (ft^2)</t>
  </si>
  <si>
    <t>User Input - Area of Lodging Buildings (ft^2)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</si>
</sst>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rgb="FF000000"/>
      <name val="Calibri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u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0" xfId="0" applyFont="1" applyFill="1"/>
    <xf numFmtId="0" fontId="6" fillId="0" borderId="0" xfId="0" applyFont="1"/>
    <xf numFmtId="0" fontId="7" fillId="0" borderId="0" xfId="0" applyFont="1"/>
    <xf numFmtId="0" fontId="10" fillId="0" borderId="1" xfId="0" applyFont="1" applyBorder="1"/>
    <xf numFmtId="3" fontId="0" fillId="0" borderId="0" xfId="0" applyNumberFormat="1"/>
    <xf numFmtId="0" fontId="6" fillId="0" borderId="0" xfId="0" applyFont="1" applyAlignment="1">
      <alignment horizontal="left" wrapText="1"/>
    </xf>
    <xf numFmtId="0" fontId="3" fillId="0" borderId="3" xfId="0" applyFont="1" applyBorder="1"/>
    <xf numFmtId="0" fontId="1" fillId="0" borderId="3" xfId="0" applyFont="1" applyBorder="1" applyAlignment="1">
      <alignment horizontal="center"/>
    </xf>
    <xf numFmtId="0" fontId="1" fillId="2" borderId="2" xfId="0" applyFont="1" applyFill="1" applyBorder="1"/>
    <xf numFmtId="0" fontId="2" fillId="2" borderId="2" xfId="0" applyFont="1" applyFill="1" applyBorder="1"/>
    <xf numFmtId="0" fontId="4" fillId="0" borderId="4" xfId="0" applyFon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2" fillId="0" borderId="3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7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wrapText="1"/>
    </xf>
    <xf numFmtId="0" fontId="11" fillId="6" borderId="2" xfId="0" applyFont="1" applyFill="1" applyBorder="1"/>
    <xf numFmtId="0" fontId="12" fillId="7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5" fillId="6" borderId="2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2" fillId="8" borderId="0" xfId="0" applyFont="1" applyFill="1"/>
    <xf numFmtId="0" fontId="13" fillId="6" borderId="0" xfId="0" applyFont="1" applyFill="1"/>
    <xf numFmtId="0" fontId="12" fillId="0" borderId="0" xfId="0" applyFont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9" borderId="0" xfId="0" applyFont="1" applyFill="1"/>
    <xf numFmtId="0" fontId="12" fillId="9" borderId="0" xfId="0" applyFont="1" applyFill="1" applyAlignment="1">
      <alignment horizontal="center"/>
    </xf>
    <xf numFmtId="0" fontId="12" fillId="6" borderId="2" xfId="0" applyFont="1" applyFill="1" applyBorder="1"/>
    <xf numFmtId="0" fontId="12" fillId="4" borderId="0" xfId="0" applyFont="1" applyFill="1"/>
    <xf numFmtId="0" fontId="12" fillId="0" borderId="0" xfId="0" applyFont="1" applyAlignment="1">
      <alignment wrapText="1"/>
    </xf>
    <xf numFmtId="0" fontId="12" fillId="10" borderId="1" xfId="0" applyFont="1" applyFill="1" applyBorder="1" applyAlignment="1">
      <alignment wrapText="1"/>
    </xf>
    <xf numFmtId="0" fontId="11" fillId="5" borderId="5" xfId="0" applyFont="1" applyFill="1" applyBorder="1" applyAlignment="1">
      <alignment wrapText="1"/>
    </xf>
    <xf numFmtId="0" fontId="11" fillId="7" borderId="2" xfId="0" applyFont="1" applyFill="1" applyBorder="1"/>
    <xf numFmtId="0" fontId="12" fillId="10" borderId="3" xfId="0" applyFont="1" applyFill="1" applyBorder="1" applyAlignment="1">
      <alignment wrapText="1"/>
    </xf>
    <xf numFmtId="0" fontId="16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0" fillId="0" borderId="7" xfId="0" applyFont="1" applyBorder="1"/>
    <xf numFmtId="0" fontId="4" fillId="0" borderId="8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wrapText="1"/>
    </xf>
    <xf numFmtId="2" fontId="12" fillId="8" borderId="0" xfId="0" applyNumberFormat="1" applyFont="1" applyFill="1" applyAlignment="1">
      <alignment horizontal="center"/>
    </xf>
    <xf numFmtId="2" fontId="12" fillId="5" borderId="2" xfId="0" applyNumberFormat="1" applyFont="1" applyFill="1" applyBorder="1" applyAlignment="1">
      <alignment horizontal="center"/>
    </xf>
    <xf numFmtId="2" fontId="12" fillId="0" borderId="0" xfId="0" applyNumberFormat="1" applyFont="1"/>
    <xf numFmtId="2" fontId="12" fillId="10" borderId="1" xfId="0" applyNumberFormat="1" applyFont="1" applyFill="1" applyBorder="1"/>
    <xf numFmtId="2" fontId="12" fillId="10" borderId="3" xfId="0" applyNumberFormat="1" applyFont="1" applyFill="1" applyBorder="1"/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/>
    <xf numFmtId="0" fontId="12" fillId="8" borderId="0" xfId="0" applyFont="1" applyFill="1" applyAlignment="1">
      <alignment horizontal="center"/>
    </xf>
    <xf numFmtId="0" fontId="12" fillId="5" borderId="2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103414</xdr:colOff>
      <xdr:row>4</xdr:row>
      <xdr:rowOff>32657</xdr:rowOff>
    </xdr:from>
    <xdr:to>
      <xdr:col>2</xdr:col>
      <xdr:colOff>816429</xdr:colOff>
      <xdr:row>4</xdr:row>
      <xdr:rowOff>136071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709F8F4B-331D-4FBD-B21C-B879E2E9EE9D}"/>
            </a:ext>
          </a:extLst>
        </xdr:cNvPr>
        <xdr:cNvSpPr/>
      </xdr:nvSpPr>
      <xdr:spPr>
        <a:xfrm>
          <a:off x="4399189" y="1404257"/>
          <a:ext cx="713015" cy="103414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108857</xdr:colOff>
      <xdr:row>6</xdr:row>
      <xdr:rowOff>27214</xdr:rowOff>
    </xdr:from>
    <xdr:to>
      <xdr:col>2</xdr:col>
      <xdr:colOff>800100</xdr:colOff>
      <xdr:row>6</xdr:row>
      <xdr:rowOff>152399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AD4999AD-3437-448A-80B4-1618297D5E91}"/>
            </a:ext>
            <a:ext uri="{147F2762-F138-4A5C-976F-8EAC2B608ADB}">
              <a16:predDERef xmlns:a16="http://schemas.microsoft.com/office/drawing/2014/main" pred="{709F8F4B-331D-4FBD-B21C-B879E2E9EE9D}"/>
            </a:ext>
          </a:extLst>
        </xdr:cNvPr>
        <xdr:cNvSpPr/>
      </xdr:nvSpPr>
      <xdr:spPr>
        <a:xfrm>
          <a:off x="4404632" y="1722664"/>
          <a:ext cx="691243" cy="12518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32288</xdr:colOff>
      <xdr:row>4</xdr:row>
      <xdr:rowOff>98556</xdr:rowOff>
    </xdr:from>
    <xdr:to>
      <xdr:col>6</xdr:col>
      <xdr:colOff>971747</xdr:colOff>
      <xdr:row>5</xdr:row>
      <xdr:rowOff>8013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id="{EB98E30D-8577-4303-91BE-1DBAEF6381E6}"/>
            </a:ext>
            <a:ext uri="{147F2762-F138-4A5C-976F-8EAC2B608ADB}">
              <a16:predDERef xmlns:a16="http://schemas.microsoft.com/office/drawing/2014/main" pred="{AD4999AD-3437-448A-80B4-1618297D5E91}"/>
            </a:ext>
          </a:extLst>
        </xdr:cNvPr>
        <xdr:cNvSpPr/>
      </xdr:nvSpPr>
      <xdr:spPr>
        <a:xfrm rot="601874">
          <a:off x="9938288" y="1470156"/>
          <a:ext cx="939459" cy="71382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29908</xdr:colOff>
      <xdr:row>6</xdr:row>
      <xdr:rowOff>6879</xdr:rowOff>
    </xdr:from>
    <xdr:to>
      <xdr:col>6</xdr:col>
      <xdr:colOff>969367</xdr:colOff>
      <xdr:row>6</xdr:row>
      <xdr:rowOff>77070</xdr:rowOff>
    </xdr:to>
    <xdr:sp macro="" textlink="">
      <xdr:nvSpPr>
        <xdr:cNvPr id="5" name="Arrow: Right 5">
          <a:extLst>
            <a:ext uri="{FF2B5EF4-FFF2-40B4-BE49-F238E27FC236}">
              <a16:creationId xmlns:a16="http://schemas.microsoft.com/office/drawing/2014/main" id="{D4DBDA3E-55C8-4104-A2DB-88CB8B33C386}"/>
            </a:ext>
            <a:ext uri="{147F2762-F138-4A5C-976F-8EAC2B608ADB}">
              <a16:predDERef xmlns:a16="http://schemas.microsoft.com/office/drawing/2014/main" pred="{EB98E30D-8577-4303-91BE-1DBAEF6381E6}"/>
            </a:ext>
          </a:extLst>
        </xdr:cNvPr>
        <xdr:cNvSpPr/>
      </xdr:nvSpPr>
      <xdr:spPr>
        <a:xfrm rot="21082758">
          <a:off x="9935908" y="1702329"/>
          <a:ext cx="939459" cy="7019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103414</xdr:colOff>
      <xdr:row>4</xdr:row>
      <xdr:rowOff>32657</xdr:rowOff>
    </xdr:from>
    <xdr:to>
      <xdr:col>2</xdr:col>
      <xdr:colOff>816429</xdr:colOff>
      <xdr:row>4</xdr:row>
      <xdr:rowOff>136071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FFC1419-0BAB-4D36-9FA1-5E3788CFB583}"/>
            </a:ext>
          </a:extLst>
        </xdr:cNvPr>
        <xdr:cNvSpPr/>
      </xdr:nvSpPr>
      <xdr:spPr>
        <a:xfrm>
          <a:off x="4399189" y="1747157"/>
          <a:ext cx="713015" cy="103414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108857</xdr:colOff>
      <xdr:row>6</xdr:row>
      <xdr:rowOff>27214</xdr:rowOff>
    </xdr:from>
    <xdr:to>
      <xdr:col>2</xdr:col>
      <xdr:colOff>800100</xdr:colOff>
      <xdr:row>6</xdr:row>
      <xdr:rowOff>152399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ECD271CA-3C92-4529-B7A6-DA50C46D8D8C}"/>
            </a:ext>
            <a:ext uri="{147F2762-F138-4A5C-976F-8EAC2B608ADB}">
              <a16:predDERef xmlns:a16="http://schemas.microsoft.com/office/drawing/2014/main" pred="{5FFC1419-0BAB-4D36-9FA1-5E3788CFB583}"/>
            </a:ext>
          </a:extLst>
        </xdr:cNvPr>
        <xdr:cNvSpPr/>
      </xdr:nvSpPr>
      <xdr:spPr>
        <a:xfrm>
          <a:off x="4404632" y="2132239"/>
          <a:ext cx="691243" cy="12518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32288</xdr:colOff>
      <xdr:row>4</xdr:row>
      <xdr:rowOff>98556</xdr:rowOff>
    </xdr:from>
    <xdr:to>
      <xdr:col>6</xdr:col>
      <xdr:colOff>971747</xdr:colOff>
      <xdr:row>5</xdr:row>
      <xdr:rowOff>8013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id="{689D9F5E-5137-486C-916B-3C8D12E77042}"/>
            </a:ext>
            <a:ext uri="{147F2762-F138-4A5C-976F-8EAC2B608ADB}">
              <a16:predDERef xmlns:a16="http://schemas.microsoft.com/office/drawing/2014/main" pred="{ECD271CA-3C92-4529-B7A6-DA50C46D8D8C}"/>
            </a:ext>
          </a:extLst>
        </xdr:cNvPr>
        <xdr:cNvSpPr/>
      </xdr:nvSpPr>
      <xdr:spPr>
        <a:xfrm rot="601874">
          <a:off x="9290588" y="1813056"/>
          <a:ext cx="901359" cy="99957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29908</xdr:colOff>
      <xdr:row>6</xdr:row>
      <xdr:rowOff>6879</xdr:rowOff>
    </xdr:from>
    <xdr:to>
      <xdr:col>6</xdr:col>
      <xdr:colOff>969367</xdr:colOff>
      <xdr:row>6</xdr:row>
      <xdr:rowOff>77070</xdr:rowOff>
    </xdr:to>
    <xdr:sp macro="" textlink="">
      <xdr:nvSpPr>
        <xdr:cNvPr id="5" name="Arrow: Right 5">
          <a:extLst>
            <a:ext uri="{FF2B5EF4-FFF2-40B4-BE49-F238E27FC236}">
              <a16:creationId xmlns:a16="http://schemas.microsoft.com/office/drawing/2014/main" id="{A8949D95-C803-4DE8-BEFC-87D0743F6213}"/>
            </a:ext>
            <a:ext uri="{147F2762-F138-4A5C-976F-8EAC2B608ADB}">
              <a16:predDERef xmlns:a16="http://schemas.microsoft.com/office/drawing/2014/main" pred="{689D9F5E-5137-486C-916B-3C8D12E77042}"/>
            </a:ext>
          </a:extLst>
        </xdr:cNvPr>
        <xdr:cNvSpPr/>
      </xdr:nvSpPr>
      <xdr:spPr>
        <a:xfrm rot="21082758">
          <a:off x="9288208" y="2111904"/>
          <a:ext cx="901359" cy="7019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103414</xdr:colOff>
      <xdr:row>4</xdr:row>
      <xdr:rowOff>32657</xdr:rowOff>
    </xdr:from>
    <xdr:to>
      <xdr:col>2</xdr:col>
      <xdr:colOff>816429</xdr:colOff>
      <xdr:row>4</xdr:row>
      <xdr:rowOff>136071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9A8FC9-CFC4-4C30-B273-2E8B672F2E1C}"/>
            </a:ext>
          </a:extLst>
        </xdr:cNvPr>
        <xdr:cNvSpPr/>
      </xdr:nvSpPr>
      <xdr:spPr>
        <a:xfrm>
          <a:off x="4523014" y="1533797"/>
          <a:ext cx="713015" cy="103414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108857</xdr:colOff>
      <xdr:row>6</xdr:row>
      <xdr:rowOff>27214</xdr:rowOff>
    </xdr:from>
    <xdr:to>
      <xdr:col>2</xdr:col>
      <xdr:colOff>800100</xdr:colOff>
      <xdr:row>6</xdr:row>
      <xdr:rowOff>152399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D12F880-1456-498F-85DB-73B450268E88}"/>
            </a:ext>
            <a:ext uri="{147F2762-F138-4A5C-976F-8EAC2B608ADB}">
              <a16:predDERef xmlns:a16="http://schemas.microsoft.com/office/drawing/2014/main" pred="{5FFC1419-0BAB-4D36-9FA1-5E3788CFB583}"/>
            </a:ext>
          </a:extLst>
        </xdr:cNvPr>
        <xdr:cNvSpPr/>
      </xdr:nvSpPr>
      <xdr:spPr>
        <a:xfrm>
          <a:off x="4528457" y="1916974"/>
          <a:ext cx="691243" cy="12518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32288</xdr:colOff>
      <xdr:row>4</xdr:row>
      <xdr:rowOff>98556</xdr:rowOff>
    </xdr:from>
    <xdr:to>
      <xdr:col>6</xdr:col>
      <xdr:colOff>971747</xdr:colOff>
      <xdr:row>5</xdr:row>
      <xdr:rowOff>8013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id="{46B0CA97-990C-4160-AC10-42A37D9E63B3}"/>
            </a:ext>
            <a:ext uri="{147F2762-F138-4A5C-976F-8EAC2B608ADB}">
              <a16:predDERef xmlns:a16="http://schemas.microsoft.com/office/drawing/2014/main" pred="{ECD271CA-3C92-4529-B7A6-DA50C46D8D8C}"/>
            </a:ext>
          </a:extLst>
        </xdr:cNvPr>
        <xdr:cNvSpPr/>
      </xdr:nvSpPr>
      <xdr:spPr>
        <a:xfrm rot="601874">
          <a:off x="9557288" y="1599696"/>
          <a:ext cx="924219" cy="99957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29908</xdr:colOff>
      <xdr:row>6</xdr:row>
      <xdr:rowOff>6879</xdr:rowOff>
    </xdr:from>
    <xdr:to>
      <xdr:col>6</xdr:col>
      <xdr:colOff>969367</xdr:colOff>
      <xdr:row>6</xdr:row>
      <xdr:rowOff>77070</xdr:rowOff>
    </xdr:to>
    <xdr:sp macro="" textlink="">
      <xdr:nvSpPr>
        <xdr:cNvPr id="5" name="Arrow: Right 5">
          <a:extLst>
            <a:ext uri="{FF2B5EF4-FFF2-40B4-BE49-F238E27FC236}">
              <a16:creationId xmlns:a16="http://schemas.microsoft.com/office/drawing/2014/main" id="{FFAC231F-A669-424E-966C-181C8918555D}"/>
            </a:ext>
            <a:ext uri="{147F2762-F138-4A5C-976F-8EAC2B608ADB}">
              <a16:predDERef xmlns:a16="http://schemas.microsoft.com/office/drawing/2014/main" pred="{689D9F5E-5137-486C-916B-3C8D12E77042}"/>
            </a:ext>
          </a:extLst>
        </xdr:cNvPr>
        <xdr:cNvSpPr/>
      </xdr:nvSpPr>
      <xdr:spPr>
        <a:xfrm rot="21082758">
          <a:off x="9554908" y="1896639"/>
          <a:ext cx="931839" cy="7019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103414</xdr:colOff>
      <xdr:row>4</xdr:row>
      <xdr:rowOff>32657</xdr:rowOff>
    </xdr:from>
    <xdr:to>
      <xdr:col>2</xdr:col>
      <xdr:colOff>816429</xdr:colOff>
      <xdr:row>4</xdr:row>
      <xdr:rowOff>136071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9605C93-B947-4D71-AF4E-75024255DCFF}"/>
            </a:ext>
          </a:extLst>
        </xdr:cNvPr>
        <xdr:cNvSpPr/>
      </xdr:nvSpPr>
      <xdr:spPr>
        <a:xfrm>
          <a:off x="4523014" y="1533797"/>
          <a:ext cx="713015" cy="103414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108857</xdr:colOff>
      <xdr:row>6</xdr:row>
      <xdr:rowOff>27214</xdr:rowOff>
    </xdr:from>
    <xdr:to>
      <xdr:col>2</xdr:col>
      <xdr:colOff>800100</xdr:colOff>
      <xdr:row>6</xdr:row>
      <xdr:rowOff>152399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244D96D8-6B3B-41EF-8017-905C47C91065}"/>
            </a:ext>
            <a:ext uri="{147F2762-F138-4A5C-976F-8EAC2B608ADB}">
              <a16:predDERef xmlns:a16="http://schemas.microsoft.com/office/drawing/2014/main" pred="{5FFC1419-0BAB-4D36-9FA1-5E3788CFB583}"/>
            </a:ext>
          </a:extLst>
        </xdr:cNvPr>
        <xdr:cNvSpPr/>
      </xdr:nvSpPr>
      <xdr:spPr>
        <a:xfrm>
          <a:off x="4528457" y="1916974"/>
          <a:ext cx="691243" cy="12518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32288</xdr:colOff>
      <xdr:row>4</xdr:row>
      <xdr:rowOff>98556</xdr:rowOff>
    </xdr:from>
    <xdr:to>
      <xdr:col>6</xdr:col>
      <xdr:colOff>971747</xdr:colOff>
      <xdr:row>5</xdr:row>
      <xdr:rowOff>8013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id="{A65DB3D2-5022-4ABF-B1ED-A58D0539A22C}"/>
            </a:ext>
            <a:ext uri="{147F2762-F138-4A5C-976F-8EAC2B608ADB}">
              <a16:predDERef xmlns:a16="http://schemas.microsoft.com/office/drawing/2014/main" pred="{ECD271CA-3C92-4529-B7A6-DA50C46D8D8C}"/>
            </a:ext>
          </a:extLst>
        </xdr:cNvPr>
        <xdr:cNvSpPr/>
      </xdr:nvSpPr>
      <xdr:spPr>
        <a:xfrm rot="601874">
          <a:off x="9557288" y="1599696"/>
          <a:ext cx="924219" cy="99957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29908</xdr:colOff>
      <xdr:row>6</xdr:row>
      <xdr:rowOff>6879</xdr:rowOff>
    </xdr:from>
    <xdr:to>
      <xdr:col>6</xdr:col>
      <xdr:colOff>969367</xdr:colOff>
      <xdr:row>6</xdr:row>
      <xdr:rowOff>77070</xdr:rowOff>
    </xdr:to>
    <xdr:sp macro="" textlink="">
      <xdr:nvSpPr>
        <xdr:cNvPr id="5" name="Arrow: Right 5">
          <a:extLst>
            <a:ext uri="{FF2B5EF4-FFF2-40B4-BE49-F238E27FC236}">
              <a16:creationId xmlns:a16="http://schemas.microsoft.com/office/drawing/2014/main" id="{6224CA28-C5F0-4224-B236-AFA7B1AEB9F3}"/>
            </a:ext>
            <a:ext uri="{147F2762-F138-4A5C-976F-8EAC2B608ADB}">
              <a16:predDERef xmlns:a16="http://schemas.microsoft.com/office/drawing/2014/main" pred="{689D9F5E-5137-486C-916B-3C8D12E77042}"/>
            </a:ext>
          </a:extLst>
        </xdr:cNvPr>
        <xdr:cNvSpPr/>
      </xdr:nvSpPr>
      <xdr:spPr>
        <a:xfrm rot="21082758">
          <a:off x="9554908" y="1896639"/>
          <a:ext cx="931839" cy="7019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103414</xdr:colOff>
      <xdr:row>4</xdr:row>
      <xdr:rowOff>32657</xdr:rowOff>
    </xdr:from>
    <xdr:to>
      <xdr:col>2</xdr:col>
      <xdr:colOff>816429</xdr:colOff>
      <xdr:row>4</xdr:row>
      <xdr:rowOff>136071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98D1064F-B882-43FA-B094-C5BC3EA599C7}"/>
            </a:ext>
          </a:extLst>
        </xdr:cNvPr>
        <xdr:cNvSpPr/>
      </xdr:nvSpPr>
      <xdr:spPr>
        <a:xfrm>
          <a:off x="4523014" y="1533797"/>
          <a:ext cx="713015" cy="103414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108857</xdr:colOff>
      <xdr:row>6</xdr:row>
      <xdr:rowOff>27214</xdr:rowOff>
    </xdr:from>
    <xdr:to>
      <xdr:col>2</xdr:col>
      <xdr:colOff>800100</xdr:colOff>
      <xdr:row>6</xdr:row>
      <xdr:rowOff>152399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86A6BF1-64C2-4E9B-BC41-40C9EB0CD222}"/>
            </a:ext>
            <a:ext uri="{147F2762-F138-4A5C-976F-8EAC2B608ADB}">
              <a16:predDERef xmlns:a16="http://schemas.microsoft.com/office/drawing/2014/main" pred="{5FFC1419-0BAB-4D36-9FA1-5E3788CFB583}"/>
            </a:ext>
          </a:extLst>
        </xdr:cNvPr>
        <xdr:cNvSpPr/>
      </xdr:nvSpPr>
      <xdr:spPr>
        <a:xfrm>
          <a:off x="4528457" y="1916974"/>
          <a:ext cx="691243" cy="12518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32288</xdr:colOff>
      <xdr:row>4</xdr:row>
      <xdr:rowOff>98556</xdr:rowOff>
    </xdr:from>
    <xdr:to>
      <xdr:col>6</xdr:col>
      <xdr:colOff>971747</xdr:colOff>
      <xdr:row>5</xdr:row>
      <xdr:rowOff>8013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id="{EB38F412-A7FB-49DC-99C0-655F0F6C9393}"/>
            </a:ext>
            <a:ext uri="{147F2762-F138-4A5C-976F-8EAC2B608ADB}">
              <a16:predDERef xmlns:a16="http://schemas.microsoft.com/office/drawing/2014/main" pred="{ECD271CA-3C92-4529-B7A6-DA50C46D8D8C}"/>
            </a:ext>
          </a:extLst>
        </xdr:cNvPr>
        <xdr:cNvSpPr/>
      </xdr:nvSpPr>
      <xdr:spPr>
        <a:xfrm rot="601874">
          <a:off x="9557288" y="1599696"/>
          <a:ext cx="924219" cy="99957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29908</xdr:colOff>
      <xdr:row>6</xdr:row>
      <xdr:rowOff>6879</xdr:rowOff>
    </xdr:from>
    <xdr:to>
      <xdr:col>6</xdr:col>
      <xdr:colOff>969367</xdr:colOff>
      <xdr:row>6</xdr:row>
      <xdr:rowOff>77070</xdr:rowOff>
    </xdr:to>
    <xdr:sp macro="" textlink="">
      <xdr:nvSpPr>
        <xdr:cNvPr id="5" name="Arrow: Right 5">
          <a:extLst>
            <a:ext uri="{FF2B5EF4-FFF2-40B4-BE49-F238E27FC236}">
              <a16:creationId xmlns:a16="http://schemas.microsoft.com/office/drawing/2014/main" id="{6B656AA9-FDEE-4D8D-B865-684AC07B1F32}"/>
            </a:ext>
            <a:ext uri="{147F2762-F138-4A5C-976F-8EAC2B608ADB}">
              <a16:predDERef xmlns:a16="http://schemas.microsoft.com/office/drawing/2014/main" pred="{689D9F5E-5137-486C-916B-3C8D12E77042}"/>
            </a:ext>
          </a:extLst>
        </xdr:cNvPr>
        <xdr:cNvSpPr/>
      </xdr:nvSpPr>
      <xdr:spPr>
        <a:xfrm rot="21082758">
          <a:off x="9554908" y="1896639"/>
          <a:ext cx="931839" cy="7019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103414</xdr:colOff>
      <xdr:row>4</xdr:row>
      <xdr:rowOff>32657</xdr:rowOff>
    </xdr:from>
    <xdr:to>
      <xdr:col>2</xdr:col>
      <xdr:colOff>816429</xdr:colOff>
      <xdr:row>4</xdr:row>
      <xdr:rowOff>136071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6D22E13-0F71-453A-BA54-F4081D9249AC}"/>
            </a:ext>
          </a:extLst>
        </xdr:cNvPr>
        <xdr:cNvSpPr/>
      </xdr:nvSpPr>
      <xdr:spPr>
        <a:xfrm>
          <a:off x="4523014" y="1533797"/>
          <a:ext cx="713015" cy="103414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108857</xdr:colOff>
      <xdr:row>6</xdr:row>
      <xdr:rowOff>27214</xdr:rowOff>
    </xdr:from>
    <xdr:to>
      <xdr:col>2</xdr:col>
      <xdr:colOff>800100</xdr:colOff>
      <xdr:row>6</xdr:row>
      <xdr:rowOff>152399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67FCB196-DD81-4BB0-906D-D37D291299ED}"/>
            </a:ext>
            <a:ext uri="{147F2762-F138-4A5C-976F-8EAC2B608ADB}">
              <a16:predDERef xmlns:a16="http://schemas.microsoft.com/office/drawing/2014/main" pred="{5FFC1419-0BAB-4D36-9FA1-5E3788CFB583}"/>
            </a:ext>
          </a:extLst>
        </xdr:cNvPr>
        <xdr:cNvSpPr/>
      </xdr:nvSpPr>
      <xdr:spPr>
        <a:xfrm>
          <a:off x="4528457" y="1916974"/>
          <a:ext cx="691243" cy="12518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32288</xdr:colOff>
      <xdr:row>4</xdr:row>
      <xdr:rowOff>98556</xdr:rowOff>
    </xdr:from>
    <xdr:to>
      <xdr:col>6</xdr:col>
      <xdr:colOff>971747</xdr:colOff>
      <xdr:row>5</xdr:row>
      <xdr:rowOff>8013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id="{7724494B-5E37-47EF-BCE7-2077A277A8A6}"/>
            </a:ext>
            <a:ext uri="{147F2762-F138-4A5C-976F-8EAC2B608ADB}">
              <a16:predDERef xmlns:a16="http://schemas.microsoft.com/office/drawing/2014/main" pred="{ECD271CA-3C92-4529-B7A6-DA50C46D8D8C}"/>
            </a:ext>
          </a:extLst>
        </xdr:cNvPr>
        <xdr:cNvSpPr/>
      </xdr:nvSpPr>
      <xdr:spPr>
        <a:xfrm rot="601874">
          <a:off x="9557288" y="1599696"/>
          <a:ext cx="924219" cy="99957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29908</xdr:colOff>
      <xdr:row>6</xdr:row>
      <xdr:rowOff>6879</xdr:rowOff>
    </xdr:from>
    <xdr:to>
      <xdr:col>6</xdr:col>
      <xdr:colOff>969367</xdr:colOff>
      <xdr:row>6</xdr:row>
      <xdr:rowOff>77070</xdr:rowOff>
    </xdr:to>
    <xdr:sp macro="" textlink="">
      <xdr:nvSpPr>
        <xdr:cNvPr id="5" name="Arrow: Right 5">
          <a:extLst>
            <a:ext uri="{FF2B5EF4-FFF2-40B4-BE49-F238E27FC236}">
              <a16:creationId xmlns:a16="http://schemas.microsoft.com/office/drawing/2014/main" id="{9EE635BE-AAA5-4384-A012-2D3109A8973F}"/>
            </a:ext>
            <a:ext uri="{147F2762-F138-4A5C-976F-8EAC2B608ADB}">
              <a16:predDERef xmlns:a16="http://schemas.microsoft.com/office/drawing/2014/main" pred="{689D9F5E-5137-486C-916B-3C8D12E77042}"/>
            </a:ext>
          </a:extLst>
        </xdr:cNvPr>
        <xdr:cNvSpPr/>
      </xdr:nvSpPr>
      <xdr:spPr>
        <a:xfrm rot="21082758">
          <a:off x="9554908" y="1896639"/>
          <a:ext cx="931839" cy="7019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103414</xdr:colOff>
      <xdr:row>4</xdr:row>
      <xdr:rowOff>32657</xdr:rowOff>
    </xdr:from>
    <xdr:to>
      <xdr:col>2</xdr:col>
      <xdr:colOff>816429</xdr:colOff>
      <xdr:row>4</xdr:row>
      <xdr:rowOff>136071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97C4D339-B226-4AE9-BC04-B0B2DEF8E6FC}"/>
            </a:ext>
          </a:extLst>
        </xdr:cNvPr>
        <xdr:cNvSpPr/>
      </xdr:nvSpPr>
      <xdr:spPr>
        <a:xfrm>
          <a:off x="4523014" y="1533797"/>
          <a:ext cx="713015" cy="103414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108857</xdr:colOff>
      <xdr:row>6</xdr:row>
      <xdr:rowOff>27214</xdr:rowOff>
    </xdr:from>
    <xdr:to>
      <xdr:col>2</xdr:col>
      <xdr:colOff>800100</xdr:colOff>
      <xdr:row>6</xdr:row>
      <xdr:rowOff>152399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BA6F82B-1308-47B3-8A6B-DFEC7FF75ED2}"/>
            </a:ext>
            <a:ext uri="{147F2762-F138-4A5C-976F-8EAC2B608ADB}">
              <a16:predDERef xmlns:a16="http://schemas.microsoft.com/office/drawing/2014/main" pred="{5FFC1419-0BAB-4D36-9FA1-5E3788CFB583}"/>
            </a:ext>
          </a:extLst>
        </xdr:cNvPr>
        <xdr:cNvSpPr/>
      </xdr:nvSpPr>
      <xdr:spPr>
        <a:xfrm>
          <a:off x="4528457" y="1916974"/>
          <a:ext cx="691243" cy="12518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32288</xdr:colOff>
      <xdr:row>4</xdr:row>
      <xdr:rowOff>98556</xdr:rowOff>
    </xdr:from>
    <xdr:to>
      <xdr:col>6</xdr:col>
      <xdr:colOff>971747</xdr:colOff>
      <xdr:row>5</xdr:row>
      <xdr:rowOff>8013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id="{F56AF734-A4B0-4399-8095-A6084C7BE8AE}"/>
            </a:ext>
            <a:ext uri="{147F2762-F138-4A5C-976F-8EAC2B608ADB}">
              <a16:predDERef xmlns:a16="http://schemas.microsoft.com/office/drawing/2014/main" pred="{ECD271CA-3C92-4529-B7A6-DA50C46D8D8C}"/>
            </a:ext>
          </a:extLst>
        </xdr:cNvPr>
        <xdr:cNvSpPr/>
      </xdr:nvSpPr>
      <xdr:spPr>
        <a:xfrm rot="601874">
          <a:off x="9557288" y="1599696"/>
          <a:ext cx="924219" cy="99957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29908</xdr:colOff>
      <xdr:row>6</xdr:row>
      <xdr:rowOff>6879</xdr:rowOff>
    </xdr:from>
    <xdr:to>
      <xdr:col>6</xdr:col>
      <xdr:colOff>969367</xdr:colOff>
      <xdr:row>6</xdr:row>
      <xdr:rowOff>77070</xdr:rowOff>
    </xdr:to>
    <xdr:sp macro="" textlink="">
      <xdr:nvSpPr>
        <xdr:cNvPr id="5" name="Arrow: Right 5">
          <a:extLst>
            <a:ext uri="{FF2B5EF4-FFF2-40B4-BE49-F238E27FC236}">
              <a16:creationId xmlns:a16="http://schemas.microsoft.com/office/drawing/2014/main" id="{956E0AA6-13D5-48CC-8D0C-F97C6119DFC0}"/>
            </a:ext>
            <a:ext uri="{147F2762-F138-4A5C-976F-8EAC2B608ADB}">
              <a16:predDERef xmlns:a16="http://schemas.microsoft.com/office/drawing/2014/main" pred="{689D9F5E-5137-486C-916B-3C8D12E77042}"/>
            </a:ext>
          </a:extLst>
        </xdr:cNvPr>
        <xdr:cNvSpPr/>
      </xdr:nvSpPr>
      <xdr:spPr>
        <a:xfrm rot="21082758">
          <a:off x="9554908" y="1896639"/>
          <a:ext cx="931839" cy="7019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103414</xdr:colOff>
      <xdr:row>4</xdr:row>
      <xdr:rowOff>32657</xdr:rowOff>
    </xdr:from>
    <xdr:to>
      <xdr:col>2</xdr:col>
      <xdr:colOff>816429</xdr:colOff>
      <xdr:row>4</xdr:row>
      <xdr:rowOff>136071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7A22FF2-8020-41B3-AC34-A1F5F71EE271}"/>
            </a:ext>
          </a:extLst>
        </xdr:cNvPr>
        <xdr:cNvSpPr/>
      </xdr:nvSpPr>
      <xdr:spPr>
        <a:xfrm>
          <a:off x="4523014" y="1533797"/>
          <a:ext cx="713015" cy="103414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108857</xdr:colOff>
      <xdr:row>6</xdr:row>
      <xdr:rowOff>27214</xdr:rowOff>
    </xdr:from>
    <xdr:to>
      <xdr:col>2</xdr:col>
      <xdr:colOff>800100</xdr:colOff>
      <xdr:row>6</xdr:row>
      <xdr:rowOff>152399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18313B-B089-4D05-85BC-18B6EA48B0F2}"/>
            </a:ext>
            <a:ext uri="{147F2762-F138-4A5C-976F-8EAC2B608ADB}">
              <a16:predDERef xmlns:a16="http://schemas.microsoft.com/office/drawing/2014/main" pred="{5FFC1419-0BAB-4D36-9FA1-5E3788CFB583}"/>
            </a:ext>
          </a:extLst>
        </xdr:cNvPr>
        <xdr:cNvSpPr/>
      </xdr:nvSpPr>
      <xdr:spPr>
        <a:xfrm>
          <a:off x="4528457" y="1916974"/>
          <a:ext cx="691243" cy="12518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32288</xdr:colOff>
      <xdr:row>4</xdr:row>
      <xdr:rowOff>98556</xdr:rowOff>
    </xdr:from>
    <xdr:to>
      <xdr:col>6</xdr:col>
      <xdr:colOff>971747</xdr:colOff>
      <xdr:row>5</xdr:row>
      <xdr:rowOff>8013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id="{69D1CB20-6325-4DD1-BA33-F7A3E23F8331}"/>
            </a:ext>
            <a:ext uri="{147F2762-F138-4A5C-976F-8EAC2B608ADB}">
              <a16:predDERef xmlns:a16="http://schemas.microsoft.com/office/drawing/2014/main" pred="{ECD271CA-3C92-4529-B7A6-DA50C46D8D8C}"/>
            </a:ext>
          </a:extLst>
        </xdr:cNvPr>
        <xdr:cNvSpPr/>
      </xdr:nvSpPr>
      <xdr:spPr>
        <a:xfrm rot="601874">
          <a:off x="9557288" y="1599696"/>
          <a:ext cx="924219" cy="99957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29908</xdr:colOff>
      <xdr:row>6</xdr:row>
      <xdr:rowOff>6879</xdr:rowOff>
    </xdr:from>
    <xdr:to>
      <xdr:col>6</xdr:col>
      <xdr:colOff>969367</xdr:colOff>
      <xdr:row>6</xdr:row>
      <xdr:rowOff>77070</xdr:rowOff>
    </xdr:to>
    <xdr:sp macro="" textlink="">
      <xdr:nvSpPr>
        <xdr:cNvPr id="5" name="Arrow: Right 5">
          <a:extLst>
            <a:ext uri="{FF2B5EF4-FFF2-40B4-BE49-F238E27FC236}">
              <a16:creationId xmlns:a16="http://schemas.microsoft.com/office/drawing/2014/main" id="{AFF23429-7372-4E07-8213-099C518E5E6E}"/>
            </a:ext>
            <a:ext uri="{147F2762-F138-4A5C-976F-8EAC2B608ADB}">
              <a16:predDERef xmlns:a16="http://schemas.microsoft.com/office/drawing/2014/main" pred="{689D9F5E-5137-486C-916B-3C8D12E77042}"/>
            </a:ext>
          </a:extLst>
        </xdr:cNvPr>
        <xdr:cNvSpPr/>
      </xdr:nvSpPr>
      <xdr:spPr>
        <a:xfrm rot="21082758">
          <a:off x="9554908" y="1896639"/>
          <a:ext cx="931839" cy="7019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103414</xdr:colOff>
      <xdr:row>4</xdr:row>
      <xdr:rowOff>32657</xdr:rowOff>
    </xdr:from>
    <xdr:to>
      <xdr:col>2</xdr:col>
      <xdr:colOff>816429</xdr:colOff>
      <xdr:row>4</xdr:row>
      <xdr:rowOff>136071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1A1EAD3-E41E-4835-B73A-E970A2B61265}"/>
            </a:ext>
          </a:extLst>
        </xdr:cNvPr>
        <xdr:cNvSpPr/>
      </xdr:nvSpPr>
      <xdr:spPr>
        <a:xfrm>
          <a:off x="4523014" y="1533797"/>
          <a:ext cx="713015" cy="103414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108857</xdr:colOff>
      <xdr:row>6</xdr:row>
      <xdr:rowOff>27214</xdr:rowOff>
    </xdr:from>
    <xdr:to>
      <xdr:col>2</xdr:col>
      <xdr:colOff>800100</xdr:colOff>
      <xdr:row>6</xdr:row>
      <xdr:rowOff>152399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153735A-C045-4B77-9F3F-D05E26DFC14E}"/>
            </a:ext>
            <a:ext uri="{147F2762-F138-4A5C-976F-8EAC2B608ADB}">
              <a16:predDERef xmlns:a16="http://schemas.microsoft.com/office/drawing/2014/main" pred="{5FFC1419-0BAB-4D36-9FA1-5E3788CFB583}"/>
            </a:ext>
          </a:extLst>
        </xdr:cNvPr>
        <xdr:cNvSpPr/>
      </xdr:nvSpPr>
      <xdr:spPr>
        <a:xfrm>
          <a:off x="4528457" y="1916974"/>
          <a:ext cx="691243" cy="12518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32288</xdr:colOff>
      <xdr:row>4</xdr:row>
      <xdr:rowOff>98556</xdr:rowOff>
    </xdr:from>
    <xdr:to>
      <xdr:col>6</xdr:col>
      <xdr:colOff>971747</xdr:colOff>
      <xdr:row>5</xdr:row>
      <xdr:rowOff>8013</xdr:rowOff>
    </xdr:to>
    <xdr:sp macro="" textlink="">
      <xdr:nvSpPr>
        <xdr:cNvPr id="4" name="Arrow: Right 4">
          <a:extLst>
            <a:ext uri="{FF2B5EF4-FFF2-40B4-BE49-F238E27FC236}">
              <a16:creationId xmlns:a16="http://schemas.microsoft.com/office/drawing/2014/main" id="{40A43643-D224-4670-BD30-542E9A2BE5CD}"/>
            </a:ext>
            <a:ext uri="{147F2762-F138-4A5C-976F-8EAC2B608ADB}">
              <a16:predDERef xmlns:a16="http://schemas.microsoft.com/office/drawing/2014/main" pred="{ECD271CA-3C92-4529-B7A6-DA50C46D8D8C}"/>
            </a:ext>
          </a:extLst>
        </xdr:cNvPr>
        <xdr:cNvSpPr/>
      </xdr:nvSpPr>
      <xdr:spPr>
        <a:xfrm rot="601874">
          <a:off x="9557288" y="1599696"/>
          <a:ext cx="924219" cy="99957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29908</xdr:colOff>
      <xdr:row>6</xdr:row>
      <xdr:rowOff>6879</xdr:rowOff>
    </xdr:from>
    <xdr:to>
      <xdr:col>6</xdr:col>
      <xdr:colOff>969367</xdr:colOff>
      <xdr:row>6</xdr:row>
      <xdr:rowOff>77070</xdr:rowOff>
    </xdr:to>
    <xdr:sp macro="" textlink="">
      <xdr:nvSpPr>
        <xdr:cNvPr id="5" name="Arrow: Right 5">
          <a:extLst>
            <a:ext uri="{FF2B5EF4-FFF2-40B4-BE49-F238E27FC236}">
              <a16:creationId xmlns:a16="http://schemas.microsoft.com/office/drawing/2014/main" id="{46C84F44-D5D5-4575-9F3B-00D5D5C72FA4}"/>
            </a:ext>
            <a:ext uri="{147F2762-F138-4A5C-976F-8EAC2B608ADB}">
              <a16:predDERef xmlns:a16="http://schemas.microsoft.com/office/drawing/2014/main" pred="{689D9F5E-5137-486C-916B-3C8D12E77042}"/>
            </a:ext>
          </a:extLst>
        </xdr:cNvPr>
        <xdr:cNvSpPr/>
      </xdr:nvSpPr>
      <xdr:spPr>
        <a:xfrm rot="21082758">
          <a:off x="9554908" y="1896639"/>
          <a:ext cx="931839" cy="70191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mando Diego Lopez" id="{01F69F78-C8AC-454E-8577-8347E8C12E13}" userId="S::alope274@calpoly.edu::3ba09067-2671-4513-96b8-0b06a6c3ad4d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1-06-07T22:43:40.77" personId="{01F69F78-C8AC-454E-8577-8347E8C12E13}" id="{62622FE9-5CDF-4E56-ABEE-251994719C97}">
    <text>For our tested simulation we estimated a medium sized office building to be about 160,000ft^2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7F49-8308-406F-92DF-4F1DF2D7A003}">
  <dimension ref="A1:L37"/>
  <sheetViews>
    <sheetView tabSelected="1" zoomScale="80" zoomScaleNormal="80" workbookViewId="0">
      <selection activeCell="B8" sqref="B8"/>
    </sheetView>
  </sheetViews>
  <sheetFormatPr defaultRowHeight="13.15"/>
  <cols>
    <col min="1" max="1" width="37.42578125" bestFit="1" customWidth="1"/>
    <col min="2" max="2" width="27" bestFit="1" customWidth="1"/>
    <col min="3" max="3" width="16.28515625" bestFit="1" customWidth="1"/>
    <col min="4" max="4" width="19" customWidth="1"/>
    <col min="5" max="5" width="20.5703125" customWidth="1"/>
    <col min="6" max="6" width="18.5703125" customWidth="1"/>
    <col min="7" max="7" width="14" bestFit="1" customWidth="1"/>
    <col min="8" max="8" width="20.42578125" bestFit="1" customWidth="1"/>
    <col min="9" max="9" width="16.85546875" customWidth="1"/>
    <col min="10" max="10" width="14" customWidth="1"/>
    <col min="12" max="12" width="10.85546875" customWidth="1"/>
  </cols>
  <sheetData>
    <row r="1" spans="1:12" ht="15.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28" t="s">
        <v>1</v>
      </c>
      <c r="B2" s="4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15">
      <c r="A3" s="28" t="s">
        <v>3</v>
      </c>
      <c r="B3" s="29">
        <v>160000</v>
      </c>
      <c r="C3" s="28"/>
      <c r="D3" s="30" t="s">
        <v>4</v>
      </c>
      <c r="E3" s="28"/>
      <c r="F3" s="28"/>
      <c r="G3" s="28"/>
      <c r="H3" s="31" t="s">
        <v>5</v>
      </c>
      <c r="I3" s="28"/>
      <c r="J3" s="28"/>
      <c r="K3" s="28"/>
      <c r="L3" s="28"/>
    </row>
    <row r="4" spans="1:12" ht="56.25" customHeight="1">
      <c r="A4" s="28"/>
      <c r="B4" s="32"/>
      <c r="C4" s="28" t="s">
        <v>6</v>
      </c>
      <c r="D4" s="33" t="s">
        <v>7</v>
      </c>
      <c r="E4" s="34" t="s">
        <v>8</v>
      </c>
      <c r="F4" s="34" t="s">
        <v>9</v>
      </c>
      <c r="G4" s="28"/>
      <c r="H4" s="35" t="s">
        <v>10</v>
      </c>
      <c r="I4" s="36" t="s">
        <v>11</v>
      </c>
      <c r="J4" s="45" t="s">
        <v>12</v>
      </c>
      <c r="K4" s="36" t="s">
        <v>13</v>
      </c>
      <c r="L4" s="45" t="s">
        <v>14</v>
      </c>
    </row>
    <row r="5" spans="1:12" ht="15">
      <c r="A5" s="37" t="s">
        <v>15</v>
      </c>
      <c r="B5" s="29">
        <v>1000</v>
      </c>
      <c r="C5" s="37"/>
      <c r="D5" s="59">
        <f>B5/B29</f>
        <v>20.512820512820515</v>
      </c>
      <c r="E5" s="69" t="s">
        <v>16</v>
      </c>
      <c r="F5" s="58">
        <f>B31*D5</f>
        <v>50666.666666666672</v>
      </c>
      <c r="G5" s="28"/>
      <c r="H5" s="38"/>
      <c r="I5" s="28"/>
      <c r="J5" s="28"/>
      <c r="K5" s="28"/>
      <c r="L5" s="60">
        <f>F5/K6</f>
        <v>1.6513536210817019</v>
      </c>
    </row>
    <row r="6" spans="1:12" ht="15.6">
      <c r="A6" s="39" t="s">
        <v>17</v>
      </c>
      <c r="B6" s="32"/>
      <c r="C6" s="28"/>
      <c r="D6" s="50" t="s">
        <v>17</v>
      </c>
      <c r="E6" s="39"/>
      <c r="F6" s="39"/>
      <c r="G6" s="28"/>
      <c r="H6" s="40">
        <v>500</v>
      </c>
      <c r="I6" s="39">
        <f>H6*365*1.2</f>
        <v>219000</v>
      </c>
      <c r="J6" s="39">
        <f>B24-I6</f>
        <v>510952</v>
      </c>
      <c r="K6" s="39">
        <f>0.1401*I6</f>
        <v>30681.9</v>
      </c>
    </row>
    <row r="7" spans="1:12" ht="15">
      <c r="A7" s="41" t="s">
        <v>18</v>
      </c>
      <c r="B7" s="29">
        <v>50</v>
      </c>
      <c r="C7" s="41"/>
      <c r="D7" s="70">
        <f>B7</f>
        <v>50</v>
      </c>
      <c r="E7" s="42">
        <f>B7*B29</f>
        <v>2437.5</v>
      </c>
      <c r="F7" s="42">
        <f>B31*B7</f>
        <v>123500</v>
      </c>
      <c r="G7" s="28"/>
      <c r="H7" s="43"/>
      <c r="I7" s="28"/>
      <c r="J7" s="28"/>
      <c r="K7" s="28"/>
      <c r="L7" s="60">
        <f>F7/K6</f>
        <v>4.0251744513866479</v>
      </c>
    </row>
    <row r="8" spans="1:12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31.15">
      <c r="C9" s="28"/>
      <c r="D9" s="47" t="s">
        <v>19</v>
      </c>
      <c r="E9" s="28"/>
      <c r="F9" s="28"/>
      <c r="G9" s="28"/>
      <c r="J9" s="28"/>
      <c r="K9" s="28"/>
      <c r="L9" s="28"/>
    </row>
    <row r="10" spans="1:12" ht="49.5" customHeight="1">
      <c r="D10" s="46" t="s">
        <v>20</v>
      </c>
      <c r="E10" s="61">
        <f>B25</f>
        <v>1999.868493150685</v>
      </c>
      <c r="F10" s="28"/>
      <c r="G10" s="28"/>
      <c r="J10" s="28"/>
      <c r="K10" s="28"/>
      <c r="L10" s="28"/>
    </row>
    <row r="11" spans="1:12" ht="45">
      <c r="D11" s="49" t="s">
        <v>21</v>
      </c>
      <c r="E11" s="62">
        <f>SUM(D17,D21,D22,D16)/B24*100</f>
        <v>16.772609705843671</v>
      </c>
      <c r="F11" s="28"/>
      <c r="G11" s="28"/>
      <c r="J11" s="28"/>
      <c r="K11" s="28"/>
      <c r="L11" s="28"/>
    </row>
    <row r="12" spans="1:12" ht="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5.6">
      <c r="A13" s="45"/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5" hidden="1">
      <c r="A14" s="28"/>
      <c r="B14" s="28"/>
      <c r="C14" s="28"/>
      <c r="F14" s="45"/>
      <c r="G14" s="28"/>
      <c r="H14" s="28"/>
      <c r="I14" s="28"/>
      <c r="J14" s="28"/>
      <c r="K14" s="28"/>
      <c r="L14" s="28"/>
    </row>
    <row r="15" spans="1:12" ht="15" hidden="1">
      <c r="A15" s="12" t="s">
        <v>22</v>
      </c>
      <c r="B15" s="1" t="s">
        <v>23</v>
      </c>
      <c r="C15" s="2" t="s">
        <v>24</v>
      </c>
      <c r="D15" s="1" t="s">
        <v>25</v>
      </c>
    </row>
    <row r="16" spans="1:12" ht="15" hidden="1">
      <c r="A16" s="3" t="s">
        <v>26</v>
      </c>
      <c r="B16" s="4">
        <f>7.5*B3/100000</f>
        <v>12</v>
      </c>
      <c r="C16" s="5">
        <v>5600</v>
      </c>
      <c r="D16" s="4">
        <f t="shared" ref="D16:D23" si="0">B16*C16</f>
        <v>67200</v>
      </c>
    </row>
    <row r="17" spans="1:5" ht="15" hidden="1">
      <c r="A17" s="3" t="s">
        <v>27</v>
      </c>
      <c r="B17" s="4">
        <f>9.8*B3/100000</f>
        <v>15.68</v>
      </c>
      <c r="C17" s="6">
        <v>1600</v>
      </c>
      <c r="D17" s="4">
        <f t="shared" si="0"/>
        <v>25088</v>
      </c>
    </row>
    <row r="18" spans="1:5" ht="15" hidden="1">
      <c r="A18" s="3" t="s">
        <v>28</v>
      </c>
      <c r="B18" s="4">
        <f>520*B3/100000</f>
        <v>832</v>
      </c>
      <c r="C18" s="6">
        <v>180</v>
      </c>
      <c r="D18" s="4">
        <f t="shared" si="0"/>
        <v>149760</v>
      </c>
    </row>
    <row r="19" spans="1:5" ht="15" hidden="1">
      <c r="A19" s="3" t="s">
        <v>29</v>
      </c>
      <c r="B19" s="4">
        <f>180*B3/100000</f>
        <v>288</v>
      </c>
      <c r="C19" s="6">
        <v>350</v>
      </c>
      <c r="D19" s="4">
        <f t="shared" si="0"/>
        <v>100800</v>
      </c>
    </row>
    <row r="20" spans="1:5" ht="15" hidden="1">
      <c r="A20" s="3" t="s">
        <v>30</v>
      </c>
      <c r="B20" s="4">
        <f>470*B3/100000</f>
        <v>752</v>
      </c>
      <c r="C20" s="6">
        <v>450</v>
      </c>
      <c r="D20" s="4">
        <f t="shared" si="0"/>
        <v>338400</v>
      </c>
    </row>
    <row r="21" spans="1:5" ht="15" hidden="1">
      <c r="A21" s="3" t="s">
        <v>31</v>
      </c>
      <c r="B21" s="4">
        <v>60</v>
      </c>
      <c r="C21" s="6">
        <v>440</v>
      </c>
      <c r="D21" s="4">
        <f t="shared" si="0"/>
        <v>26400</v>
      </c>
    </row>
    <row r="22" spans="1:5" ht="15" hidden="1">
      <c r="A22" s="3" t="s">
        <v>32</v>
      </c>
      <c r="B22" s="4">
        <f>0.6*B3/100000</f>
        <v>0.96</v>
      </c>
      <c r="C22" s="6">
        <v>3900</v>
      </c>
      <c r="D22" s="4">
        <f t="shared" si="0"/>
        <v>3744</v>
      </c>
    </row>
    <row r="23" spans="1:5" ht="15" hidden="1">
      <c r="A23" s="3" t="s">
        <v>33</v>
      </c>
      <c r="B23" s="4">
        <f>2*B3/100000</f>
        <v>3.2</v>
      </c>
      <c r="C23" s="6">
        <v>5800</v>
      </c>
      <c r="D23" s="4">
        <f t="shared" si="0"/>
        <v>18560</v>
      </c>
    </row>
    <row r="24" spans="1:5" ht="12.75" hidden="1">
      <c r="A24" s="7" t="s">
        <v>34</v>
      </c>
      <c r="B24" s="7">
        <f>SUM(D16:D23)</f>
        <v>729952</v>
      </c>
      <c r="D24" s="54"/>
    </row>
    <row r="25" spans="1:5" ht="12.75" hidden="1">
      <c r="A25" s="7" t="s">
        <v>35</v>
      </c>
      <c r="B25" s="55">
        <f>B24/365</f>
        <v>1999.868493150685</v>
      </c>
      <c r="D25" s="54"/>
    </row>
    <row r="26" spans="1:5" ht="12.75" hidden="1">
      <c r="A26" s="7" t="s">
        <v>36</v>
      </c>
      <c r="B26" s="7">
        <f>B24*0.1408</f>
        <v>102777.24160000001</v>
      </c>
    </row>
    <row r="27" spans="1:5" ht="12.75" hidden="1"/>
    <row r="28" spans="1:5" ht="12.75" hidden="1">
      <c r="A28" s="11" t="s">
        <v>37</v>
      </c>
      <c r="B28" t="s">
        <v>38</v>
      </c>
      <c r="C28" t="s">
        <v>39</v>
      </c>
      <c r="D28" t="s">
        <v>40</v>
      </c>
      <c r="E28" t="s">
        <v>41</v>
      </c>
    </row>
    <row r="29" spans="1:5" ht="25.5" hidden="1">
      <c r="A29" s="64" t="s">
        <v>42</v>
      </c>
      <c r="B29">
        <v>48.75</v>
      </c>
      <c r="C29">
        <v>17.55</v>
      </c>
      <c r="D29">
        <v>22.1</v>
      </c>
      <c r="E29">
        <v>360</v>
      </c>
    </row>
    <row r="30" spans="1:5" ht="12.75" hidden="1"/>
    <row r="31" spans="1:5" ht="29.25" hidden="1" customHeight="1">
      <c r="A31" s="10" t="s">
        <v>43</v>
      </c>
      <c r="B31">
        <v>2470</v>
      </c>
      <c r="E31" s="13"/>
    </row>
    <row r="32" spans="1:5" ht="12.75" hidden="1">
      <c r="A32" s="14" t="s">
        <v>44</v>
      </c>
      <c r="B32">
        <v>6.6</v>
      </c>
    </row>
    <row r="33" spans="1:2" ht="12.75" hidden="1"/>
    <row r="34" spans="1:2" ht="25.5" customHeight="1"/>
    <row r="37" spans="1:2">
      <c r="A37" s="56"/>
      <c r="B37" s="56"/>
    </row>
  </sheetData>
  <conditionalFormatting sqref="B14">
    <cfRule type="containsText" dxfId="17" priority="1" operator="containsText" text="Yes">
      <formula>NOT(ISERROR(SEARCH("Yes",B14)))</formula>
    </cfRule>
    <cfRule type="containsText" dxfId="16" priority="2" operator="containsText" text="No">
      <formula>NOT(ISERROR(SEARCH("No",B14)))</formula>
    </cfRule>
  </conditionalFormatting>
  <pageMargins left="0.7" right="0.7" top="0.75" bottom="0.75" header="0.3" footer="0.3"/>
  <pageSetup orientation="portrait" horizontalDpi="1200" verticalDpi="12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C557-0267-4511-A633-5E1294415160}">
  <dimension ref="A1:D101"/>
  <sheetViews>
    <sheetView zoomScaleNormal="100" workbookViewId="0">
      <selection activeCell="B3" sqref="B3"/>
    </sheetView>
  </sheetViews>
  <sheetFormatPr defaultRowHeight="13.15"/>
  <cols>
    <col min="1" max="1" width="59.42578125" bestFit="1" customWidth="1"/>
    <col min="2" max="2" width="24.42578125" customWidth="1"/>
    <col min="3" max="3" width="15.85546875" customWidth="1"/>
    <col min="4" max="4" width="15.28515625" customWidth="1"/>
  </cols>
  <sheetData>
    <row r="1" spans="1:4">
      <c r="A1" s="17" t="s">
        <v>74</v>
      </c>
      <c r="B1" s="18">
        <v>100000</v>
      </c>
    </row>
    <row r="2" spans="1:4" ht="14.45">
      <c r="A2" s="15"/>
      <c r="B2" s="16" t="s">
        <v>23</v>
      </c>
      <c r="C2" s="2" t="s">
        <v>24</v>
      </c>
      <c r="D2" s="1" t="s">
        <v>25</v>
      </c>
    </row>
    <row r="3" spans="1:4" ht="14.45">
      <c r="A3" s="3" t="s">
        <v>71</v>
      </c>
      <c r="B3" s="4">
        <f>1*B1/100000</f>
        <v>1</v>
      </c>
      <c r="C3" s="5">
        <v>3000</v>
      </c>
      <c r="D3" s="4">
        <f t="shared" ref="D3:D12" si="0">B3*C3</f>
        <v>3000</v>
      </c>
    </row>
    <row r="4" spans="1:4" ht="14.45">
      <c r="A4" s="3" t="s">
        <v>26</v>
      </c>
      <c r="B4" s="4">
        <f>3*B1/100000</f>
        <v>3</v>
      </c>
      <c r="C4" s="6">
        <v>13000</v>
      </c>
      <c r="D4" s="4">
        <f t="shared" si="0"/>
        <v>39000</v>
      </c>
    </row>
    <row r="5" spans="1:4" ht="14.45">
      <c r="A5" s="3" t="s">
        <v>27</v>
      </c>
      <c r="B5" s="4">
        <f>9.2*B1/100000</f>
        <v>9.1999999999999993</v>
      </c>
      <c r="C5" s="6">
        <v>1600</v>
      </c>
      <c r="D5" s="4">
        <f t="shared" si="0"/>
        <v>14719.999999999998</v>
      </c>
    </row>
    <row r="6" spans="1:4" ht="14.45">
      <c r="A6" s="3" t="s">
        <v>57</v>
      </c>
      <c r="B6" s="4">
        <f>37*B1/100000</f>
        <v>37</v>
      </c>
      <c r="C6" s="6">
        <v>280</v>
      </c>
      <c r="D6" s="4">
        <f t="shared" si="0"/>
        <v>10360</v>
      </c>
    </row>
    <row r="7" spans="1:4" ht="14.45">
      <c r="A7" s="3" t="s">
        <v>28</v>
      </c>
      <c r="B7" s="4">
        <f>98*B1/100000</f>
        <v>98</v>
      </c>
      <c r="C7" s="6">
        <v>180</v>
      </c>
      <c r="D7" s="4">
        <f t="shared" si="0"/>
        <v>17640</v>
      </c>
    </row>
    <row r="8" spans="1:4" ht="14.45">
      <c r="A8" s="3" t="s">
        <v>53</v>
      </c>
      <c r="B8" s="4">
        <f>75*B1/100000</f>
        <v>75</v>
      </c>
      <c r="C8" s="6">
        <v>450</v>
      </c>
      <c r="D8" s="4">
        <f t="shared" si="0"/>
        <v>33750</v>
      </c>
    </row>
    <row r="9" spans="1:4" ht="14.45">
      <c r="A9" s="3" t="s">
        <v>54</v>
      </c>
      <c r="B9" s="4">
        <f>1.2*B1/100000</f>
        <v>1.2</v>
      </c>
      <c r="C9" s="6">
        <v>19000</v>
      </c>
      <c r="D9" s="4">
        <f t="shared" si="0"/>
        <v>22800</v>
      </c>
    </row>
    <row r="10" spans="1:4" ht="14.45">
      <c r="A10" s="3" t="s">
        <v>32</v>
      </c>
      <c r="B10" s="4">
        <f>2.4*B1/100000</f>
        <v>2.4</v>
      </c>
      <c r="C10" s="6">
        <v>3900</v>
      </c>
      <c r="D10" s="4">
        <f t="shared" si="0"/>
        <v>9360</v>
      </c>
    </row>
    <row r="11" spans="1:4" ht="14.45">
      <c r="A11" s="19" t="s">
        <v>59</v>
      </c>
      <c r="B11" s="20">
        <f>6*B1/100000</f>
        <v>6</v>
      </c>
      <c r="C11" s="21">
        <v>940</v>
      </c>
      <c r="D11" s="20">
        <f t="shared" si="0"/>
        <v>5640</v>
      </c>
    </row>
    <row r="12" spans="1:4" ht="14.45">
      <c r="A12" s="22" t="s">
        <v>65</v>
      </c>
      <c r="B12" s="23">
        <f>11*B1/100000</f>
        <v>11</v>
      </c>
      <c r="C12" s="24">
        <v>1700</v>
      </c>
      <c r="D12" s="23">
        <f t="shared" si="0"/>
        <v>18700</v>
      </c>
    </row>
    <row r="13" spans="1:4">
      <c r="A13" s="7" t="s">
        <v>75</v>
      </c>
      <c r="B13" s="8"/>
      <c r="D13" s="9">
        <f>SUM(D3:D12)</f>
        <v>174970</v>
      </c>
    </row>
    <row r="15" spans="1:4">
      <c r="A15" s="17" t="s">
        <v>76</v>
      </c>
      <c r="B15" s="18">
        <v>100000</v>
      </c>
    </row>
    <row r="16" spans="1:4" ht="14.45">
      <c r="A16" s="15"/>
      <c r="B16" s="16" t="s">
        <v>23</v>
      </c>
      <c r="C16" s="2" t="s">
        <v>24</v>
      </c>
      <c r="D16" s="1" t="s">
        <v>25</v>
      </c>
    </row>
    <row r="17" spans="1:4" ht="14.45">
      <c r="A17" s="3" t="s">
        <v>71</v>
      </c>
      <c r="B17" s="4">
        <f>12*B15/100000</f>
        <v>12</v>
      </c>
      <c r="C17" s="5">
        <v>3000</v>
      </c>
      <c r="D17" s="4">
        <f t="shared" ref="D17:D25" si="1">B17*C17</f>
        <v>36000</v>
      </c>
    </row>
    <row r="18" spans="1:4" ht="14.45">
      <c r="A18" s="3" t="s">
        <v>26</v>
      </c>
      <c r="B18" s="4">
        <f>18*B15/100000</f>
        <v>18</v>
      </c>
      <c r="C18" s="6">
        <v>17000</v>
      </c>
      <c r="D18" s="4">
        <f t="shared" si="1"/>
        <v>306000</v>
      </c>
    </row>
    <row r="19" spans="1:4" ht="14.45">
      <c r="A19" s="3" t="s">
        <v>27</v>
      </c>
      <c r="B19" s="4">
        <f>8*B15/100000</f>
        <v>8</v>
      </c>
      <c r="C19" s="6">
        <v>1600</v>
      </c>
      <c r="D19" s="4">
        <f t="shared" si="1"/>
        <v>12800</v>
      </c>
    </row>
    <row r="20" spans="1:4" ht="14.45">
      <c r="A20" s="3" t="s">
        <v>51</v>
      </c>
      <c r="B20" s="4">
        <f>4.6*B15/100000</f>
        <v>4.5999999999999996</v>
      </c>
      <c r="C20" s="6">
        <v>8100</v>
      </c>
      <c r="D20" s="4">
        <f t="shared" si="1"/>
        <v>37260</v>
      </c>
    </row>
    <row r="21" spans="1:4" ht="14.45">
      <c r="A21" s="3" t="s">
        <v>28</v>
      </c>
      <c r="B21" s="4">
        <f>240*B15/100000</f>
        <v>240</v>
      </c>
      <c r="C21" s="6">
        <v>180</v>
      </c>
      <c r="D21" s="4">
        <f t="shared" si="1"/>
        <v>43200</v>
      </c>
    </row>
    <row r="22" spans="1:4" ht="14.45">
      <c r="A22" s="3" t="s">
        <v>53</v>
      </c>
      <c r="B22" s="4">
        <f>240*B15/100000</f>
        <v>240</v>
      </c>
      <c r="C22" s="6">
        <v>450</v>
      </c>
      <c r="D22" s="4">
        <f t="shared" si="1"/>
        <v>108000</v>
      </c>
    </row>
    <row r="23" spans="1:4" ht="14.45">
      <c r="A23" s="3" t="s">
        <v>72</v>
      </c>
      <c r="B23" s="4">
        <f>1*B15/100000</f>
        <v>1</v>
      </c>
      <c r="C23" s="6">
        <v>670000</v>
      </c>
      <c r="D23" s="4">
        <f t="shared" si="1"/>
        <v>670000</v>
      </c>
    </row>
    <row r="24" spans="1:4" ht="14.45">
      <c r="A24" s="3" t="s">
        <v>54</v>
      </c>
      <c r="B24" s="4">
        <f>25*B15/100000</f>
        <v>25</v>
      </c>
      <c r="C24" s="6">
        <v>19000</v>
      </c>
      <c r="D24" s="4">
        <f t="shared" si="1"/>
        <v>475000</v>
      </c>
    </row>
    <row r="25" spans="1:4" ht="14.45">
      <c r="A25" s="3" t="s">
        <v>32</v>
      </c>
      <c r="B25" s="4">
        <f>57*B15/100000</f>
        <v>57</v>
      </c>
      <c r="C25" s="6">
        <v>3900</v>
      </c>
      <c r="D25" s="4">
        <f t="shared" si="1"/>
        <v>222300</v>
      </c>
    </row>
    <row r="26" spans="1:4">
      <c r="A26" s="7" t="s">
        <v>75</v>
      </c>
      <c r="B26" s="8"/>
      <c r="D26" s="9">
        <f>SUM(D17:D25)</f>
        <v>1910560</v>
      </c>
    </row>
    <row r="28" spans="1:4">
      <c r="A28" s="17" t="s">
        <v>77</v>
      </c>
      <c r="B28" s="18">
        <v>100000</v>
      </c>
    </row>
    <row r="29" spans="1:4" ht="14.45">
      <c r="A29" s="15"/>
      <c r="B29" s="16" t="s">
        <v>23</v>
      </c>
      <c r="C29" s="2" t="s">
        <v>24</v>
      </c>
      <c r="D29" s="1" t="s">
        <v>25</v>
      </c>
    </row>
    <row r="30" spans="1:4" ht="14.45">
      <c r="A30" s="3" t="s">
        <v>26</v>
      </c>
      <c r="B30" s="4">
        <f>47*B28/100000</f>
        <v>47</v>
      </c>
      <c r="C30" s="6">
        <v>12000</v>
      </c>
      <c r="D30" s="4">
        <f t="shared" ref="D30:D36" si="2">B30*C30</f>
        <v>564000</v>
      </c>
    </row>
    <row r="31" spans="1:4" ht="14.45">
      <c r="A31" s="3" t="s">
        <v>51</v>
      </c>
      <c r="B31" s="4">
        <f>21*B28/100000</f>
        <v>21</v>
      </c>
      <c r="C31" s="6">
        <v>8100</v>
      </c>
      <c r="D31" s="4">
        <f t="shared" si="2"/>
        <v>170100</v>
      </c>
    </row>
    <row r="32" spans="1:4" ht="14.45">
      <c r="A32" s="3" t="s">
        <v>28</v>
      </c>
      <c r="B32" s="4">
        <f>180*B28/100000</f>
        <v>180</v>
      </c>
      <c r="C32" s="6">
        <v>180</v>
      </c>
      <c r="D32" s="4">
        <f t="shared" si="2"/>
        <v>32400</v>
      </c>
    </row>
    <row r="33" spans="1:4" ht="14.45">
      <c r="A33" s="3" t="s">
        <v>53</v>
      </c>
      <c r="B33" s="4">
        <f>180*B28/100000</f>
        <v>180</v>
      </c>
      <c r="C33" s="6">
        <v>450</v>
      </c>
      <c r="D33" s="4">
        <f t="shared" si="2"/>
        <v>81000</v>
      </c>
    </row>
    <row r="34" spans="1:4" ht="14.45">
      <c r="A34" s="3" t="s">
        <v>54</v>
      </c>
      <c r="B34" s="4">
        <f>23*B28/100000</f>
        <v>23</v>
      </c>
      <c r="C34" s="6">
        <v>19000</v>
      </c>
      <c r="D34" s="4">
        <f t="shared" si="2"/>
        <v>437000</v>
      </c>
    </row>
    <row r="35" spans="1:4" ht="14.45">
      <c r="A35" s="19" t="s">
        <v>32</v>
      </c>
      <c r="B35" s="20">
        <f>45*B28/100000</f>
        <v>45</v>
      </c>
      <c r="C35" s="21">
        <v>3900</v>
      </c>
      <c r="D35" s="20">
        <f t="shared" si="2"/>
        <v>175500</v>
      </c>
    </row>
    <row r="36" spans="1:4" ht="14.45">
      <c r="A36" s="22" t="s">
        <v>59</v>
      </c>
      <c r="B36" s="23">
        <f>84*B28/100000</f>
        <v>84</v>
      </c>
      <c r="C36" s="24">
        <v>940</v>
      </c>
      <c r="D36" s="23">
        <f t="shared" si="2"/>
        <v>78960</v>
      </c>
    </row>
    <row r="37" spans="1:4">
      <c r="A37" s="7" t="s">
        <v>75</v>
      </c>
      <c r="B37" s="8"/>
      <c r="D37" s="9">
        <f>SUM(D30:D36)</f>
        <v>1538960</v>
      </c>
    </row>
    <row r="39" spans="1:4">
      <c r="A39" s="17" t="s">
        <v>78</v>
      </c>
      <c r="B39" s="18">
        <v>100000</v>
      </c>
    </row>
    <row r="40" spans="1:4" ht="14.45">
      <c r="A40" s="15"/>
      <c r="B40" s="16" t="s">
        <v>23</v>
      </c>
      <c r="C40" s="2" t="s">
        <v>24</v>
      </c>
      <c r="D40" s="1" t="s">
        <v>25</v>
      </c>
    </row>
    <row r="41" spans="1:4" ht="14.45">
      <c r="A41" s="3" t="s">
        <v>26</v>
      </c>
      <c r="B41" s="4">
        <f>10*B39/100000</f>
        <v>10</v>
      </c>
      <c r="C41" s="6">
        <v>2600</v>
      </c>
      <c r="D41" s="4">
        <f t="shared" ref="D41:D50" si="3">B41*C41</f>
        <v>26000</v>
      </c>
    </row>
    <row r="42" spans="1:4" ht="14.45">
      <c r="A42" s="3" t="s">
        <v>27</v>
      </c>
      <c r="B42" s="4">
        <f>7*B39/100000</f>
        <v>7</v>
      </c>
      <c r="C42" s="6">
        <v>1600</v>
      </c>
      <c r="D42" s="4">
        <f t="shared" si="3"/>
        <v>11200</v>
      </c>
    </row>
    <row r="43" spans="1:4" ht="14.45">
      <c r="A43" s="3" t="s">
        <v>51</v>
      </c>
      <c r="B43" s="4">
        <f>1.4*B39/100000</f>
        <v>1.4</v>
      </c>
      <c r="C43" s="6">
        <v>4300</v>
      </c>
      <c r="D43" s="4">
        <f t="shared" si="3"/>
        <v>6020</v>
      </c>
    </row>
    <row r="44" spans="1:4" ht="14.45">
      <c r="A44" s="3" t="s">
        <v>28</v>
      </c>
      <c r="B44" s="4">
        <f>390*B39/100000</f>
        <v>390</v>
      </c>
      <c r="C44" s="6">
        <v>180</v>
      </c>
      <c r="D44" s="4">
        <f t="shared" si="3"/>
        <v>70200</v>
      </c>
    </row>
    <row r="45" spans="1:4" ht="14.45">
      <c r="A45" s="3" t="s">
        <v>29</v>
      </c>
      <c r="B45" s="4">
        <f>140*B39/100000</f>
        <v>140</v>
      </c>
      <c r="C45" s="6">
        <v>350</v>
      </c>
      <c r="D45" s="4">
        <f t="shared" si="3"/>
        <v>49000</v>
      </c>
    </row>
    <row r="46" spans="1:4" ht="14.45">
      <c r="A46" s="3" t="s">
        <v>53</v>
      </c>
      <c r="B46" s="4">
        <f>450*B39/100000</f>
        <v>450</v>
      </c>
      <c r="C46" s="6">
        <v>450</v>
      </c>
      <c r="D46" s="4">
        <f t="shared" si="3"/>
        <v>202500</v>
      </c>
    </row>
    <row r="47" spans="1:4" ht="14.45">
      <c r="A47" s="3" t="s">
        <v>54</v>
      </c>
      <c r="B47" s="4">
        <f>1.1*B39/100000</f>
        <v>1.1000000000000001</v>
      </c>
      <c r="C47" s="6">
        <v>19000</v>
      </c>
      <c r="D47" s="4">
        <f t="shared" si="3"/>
        <v>20900</v>
      </c>
    </row>
    <row r="48" spans="1:4" ht="14.45">
      <c r="A48" s="19" t="s">
        <v>32</v>
      </c>
      <c r="B48" s="20">
        <f>1.6*B39/100000</f>
        <v>1.6</v>
      </c>
      <c r="C48" s="21">
        <v>3900</v>
      </c>
      <c r="D48" s="20">
        <f t="shared" si="3"/>
        <v>6240</v>
      </c>
    </row>
    <row r="49" spans="1:4" ht="14.45">
      <c r="A49" s="22" t="s">
        <v>65</v>
      </c>
      <c r="B49" s="23">
        <f>11*B39/100000</f>
        <v>11</v>
      </c>
      <c r="C49" s="24">
        <v>1700</v>
      </c>
      <c r="D49" s="23">
        <f t="shared" si="3"/>
        <v>18700</v>
      </c>
    </row>
    <row r="50" spans="1:4" ht="14.45">
      <c r="A50" s="22" t="s">
        <v>60</v>
      </c>
      <c r="B50" s="23">
        <f>0.8*B39/100000</f>
        <v>0.8</v>
      </c>
      <c r="C50" s="24">
        <v>3600</v>
      </c>
      <c r="D50" s="23">
        <f t="shared" si="3"/>
        <v>2880</v>
      </c>
    </row>
    <row r="51" spans="1:4">
      <c r="A51" s="7" t="s">
        <v>75</v>
      </c>
      <c r="B51" s="8"/>
      <c r="D51" s="9">
        <f>SUM(D41:D50)</f>
        <v>413640</v>
      </c>
    </row>
    <row r="53" spans="1:4">
      <c r="A53" s="17" t="s">
        <v>79</v>
      </c>
      <c r="B53" s="18">
        <v>100000</v>
      </c>
    </row>
    <row r="54" spans="1:4" ht="14.45">
      <c r="A54" s="15"/>
      <c r="B54" s="16" t="s">
        <v>23</v>
      </c>
      <c r="C54" s="2" t="s">
        <v>24</v>
      </c>
      <c r="D54" s="1" t="s">
        <v>25</v>
      </c>
    </row>
    <row r="55" spans="1:4" ht="14.45">
      <c r="A55" s="3" t="s">
        <v>27</v>
      </c>
      <c r="B55" s="4">
        <f>4.9*B53/100000</f>
        <v>4.9000000000000004</v>
      </c>
      <c r="C55" s="6">
        <v>1600</v>
      </c>
      <c r="D55" s="4">
        <f t="shared" ref="D55:D59" si="4">B55*C55</f>
        <v>7840.0000000000009</v>
      </c>
    </row>
    <row r="56" spans="1:4" ht="14.45">
      <c r="A56" s="3" t="s">
        <v>28</v>
      </c>
      <c r="B56" s="4">
        <f>44*B53/100000</f>
        <v>44</v>
      </c>
      <c r="C56" s="6">
        <v>180</v>
      </c>
      <c r="D56" s="4">
        <f t="shared" si="4"/>
        <v>7920</v>
      </c>
    </row>
    <row r="57" spans="1:4" ht="14.45">
      <c r="A57" s="3" t="s">
        <v>64</v>
      </c>
      <c r="B57" s="4">
        <f>5.7*B53/100000</f>
        <v>5.7</v>
      </c>
      <c r="C57" s="6">
        <v>4750</v>
      </c>
      <c r="D57" s="4">
        <f t="shared" si="4"/>
        <v>27075</v>
      </c>
    </row>
    <row r="58" spans="1:4" ht="14.45">
      <c r="A58" s="3" t="s">
        <v>53</v>
      </c>
      <c r="B58" s="4">
        <f>45*B53/100000</f>
        <v>45</v>
      </c>
      <c r="C58" s="6">
        <v>450</v>
      </c>
      <c r="D58" s="4">
        <f t="shared" si="4"/>
        <v>20250</v>
      </c>
    </row>
    <row r="59" spans="1:4" ht="14.45">
      <c r="A59" s="3" t="s">
        <v>67</v>
      </c>
      <c r="B59" s="4">
        <f>1*B53/100000</f>
        <v>1</v>
      </c>
      <c r="C59" s="6">
        <v>520000</v>
      </c>
      <c r="D59" s="4">
        <f t="shared" si="4"/>
        <v>520000</v>
      </c>
    </row>
    <row r="60" spans="1:4">
      <c r="A60" s="7" t="s">
        <v>75</v>
      </c>
      <c r="B60" s="8"/>
      <c r="D60" s="9">
        <f>SUM(D55:D59)</f>
        <v>583085</v>
      </c>
    </row>
    <row r="62" spans="1:4">
      <c r="A62" s="17" t="s">
        <v>80</v>
      </c>
      <c r="B62" s="18">
        <v>100000</v>
      </c>
    </row>
    <row r="63" spans="1:4" ht="14.45">
      <c r="A63" s="15"/>
      <c r="B63" s="16" t="s">
        <v>23</v>
      </c>
      <c r="C63" s="2" t="s">
        <v>24</v>
      </c>
      <c r="D63" s="1" t="s">
        <v>25</v>
      </c>
    </row>
    <row r="64" spans="1:4" ht="14.45">
      <c r="A64" s="3" t="s">
        <v>27</v>
      </c>
      <c r="B64" s="4">
        <f>18*B62/100000</f>
        <v>18</v>
      </c>
      <c r="C64" s="6">
        <v>1600</v>
      </c>
      <c r="D64" s="4">
        <f t="shared" ref="D64:D72" si="5">B64*C64</f>
        <v>28800</v>
      </c>
    </row>
    <row r="65" spans="1:4" ht="14.45">
      <c r="A65" s="3" t="s">
        <v>51</v>
      </c>
      <c r="B65" s="4">
        <f>22*B62/100000</f>
        <v>22</v>
      </c>
      <c r="C65" s="6">
        <v>4300</v>
      </c>
      <c r="D65" s="4">
        <f t="shared" si="5"/>
        <v>94600</v>
      </c>
    </row>
    <row r="66" spans="1:4" ht="14.45">
      <c r="A66" s="3" t="s">
        <v>52</v>
      </c>
      <c r="B66" s="4">
        <f>6.2*B62/100000</f>
        <v>6.2</v>
      </c>
      <c r="C66" s="6">
        <f>93000+73000+28000</f>
        <v>194000</v>
      </c>
      <c r="D66" s="4">
        <f t="shared" si="5"/>
        <v>1202800</v>
      </c>
    </row>
    <row r="67" spans="1:4" ht="14.45">
      <c r="A67" s="3" t="s">
        <v>28</v>
      </c>
      <c r="B67" s="4">
        <f>350*B62/100000</f>
        <v>350</v>
      </c>
      <c r="C67" s="6">
        <v>180</v>
      </c>
      <c r="D67" s="4">
        <f t="shared" si="5"/>
        <v>63000</v>
      </c>
    </row>
    <row r="68" spans="1:4" ht="14.45">
      <c r="A68" s="3" t="s">
        <v>29</v>
      </c>
      <c r="B68" s="4">
        <f>120*B62/100000</f>
        <v>120</v>
      </c>
      <c r="C68" s="6">
        <v>350</v>
      </c>
      <c r="D68" s="4">
        <f t="shared" si="5"/>
        <v>42000</v>
      </c>
    </row>
    <row r="69" spans="1:4" ht="14.45">
      <c r="A69" s="3" t="s">
        <v>53</v>
      </c>
      <c r="B69" s="4">
        <f>380*B62/100000</f>
        <v>380</v>
      </c>
      <c r="C69" s="6">
        <v>450</v>
      </c>
      <c r="D69" s="4">
        <f t="shared" si="5"/>
        <v>171000</v>
      </c>
    </row>
    <row r="70" spans="1:4" ht="14.45">
      <c r="A70" s="3" t="s">
        <v>54</v>
      </c>
      <c r="B70" s="4">
        <f>1.2*B62/100000</f>
        <v>1.2</v>
      </c>
      <c r="C70" s="6">
        <v>19000</v>
      </c>
      <c r="D70" s="4">
        <f t="shared" si="5"/>
        <v>22800</v>
      </c>
    </row>
    <row r="71" spans="1:4" ht="14.45">
      <c r="A71" s="19" t="s">
        <v>32</v>
      </c>
      <c r="B71" s="20">
        <f>1.8*B62/100000</f>
        <v>1.8</v>
      </c>
      <c r="C71" s="21">
        <v>3900</v>
      </c>
      <c r="D71" s="20">
        <f t="shared" si="5"/>
        <v>7020</v>
      </c>
    </row>
    <row r="72" spans="1:4" ht="14.45">
      <c r="A72" s="22" t="s">
        <v>55</v>
      </c>
      <c r="B72" s="23">
        <f>2.2*B62/100000</f>
        <v>2.2000000000000002</v>
      </c>
      <c r="C72" s="24">
        <f>6030+20500</f>
        <v>26530</v>
      </c>
      <c r="D72" s="23">
        <f t="shared" si="5"/>
        <v>58366.000000000007</v>
      </c>
    </row>
    <row r="73" spans="1:4">
      <c r="A73" s="7" t="s">
        <v>75</v>
      </c>
      <c r="B73" s="8"/>
      <c r="D73" s="9">
        <f>SUM(D64:D72)</f>
        <v>1690386</v>
      </c>
    </row>
    <row r="75" spans="1:4">
      <c r="A75" s="17" t="s">
        <v>81</v>
      </c>
      <c r="B75" s="18">
        <v>100000</v>
      </c>
    </row>
    <row r="76" spans="1:4" ht="14.45">
      <c r="A76" s="15"/>
      <c r="B76" s="16" t="s">
        <v>23</v>
      </c>
      <c r="C76" s="2" t="s">
        <v>24</v>
      </c>
      <c r="D76" s="1" t="s">
        <v>25</v>
      </c>
    </row>
    <row r="77" spans="1:4" ht="14.45">
      <c r="A77" s="3" t="s">
        <v>62</v>
      </c>
      <c r="B77" s="4">
        <f>4*B75/100000</f>
        <v>4</v>
      </c>
      <c r="C77" s="6">
        <v>3700</v>
      </c>
      <c r="D77" s="4">
        <f t="shared" ref="D77:D85" si="6">B77*C77</f>
        <v>14800</v>
      </c>
    </row>
    <row r="78" spans="1:4" ht="14.45">
      <c r="A78" s="3" t="s">
        <v>63</v>
      </c>
      <c r="B78" s="4">
        <f>9*B75/100000</f>
        <v>9</v>
      </c>
      <c r="C78" s="6">
        <v>1500</v>
      </c>
      <c r="D78" s="4">
        <f t="shared" si="6"/>
        <v>13500</v>
      </c>
    </row>
    <row r="79" spans="1:4" ht="14.45">
      <c r="A79" s="3" t="s">
        <v>64</v>
      </c>
      <c r="B79" s="4">
        <f>11*B75/100000</f>
        <v>11</v>
      </c>
      <c r="C79" s="6">
        <v>990</v>
      </c>
      <c r="D79" s="4">
        <f t="shared" si="6"/>
        <v>10890</v>
      </c>
    </row>
    <row r="80" spans="1:4" ht="14.45">
      <c r="A80" s="3" t="s">
        <v>28</v>
      </c>
      <c r="B80" s="4">
        <f>68*B75/100000</f>
        <v>68</v>
      </c>
      <c r="C80" s="6">
        <v>180</v>
      </c>
      <c r="D80" s="4">
        <f t="shared" si="6"/>
        <v>12240</v>
      </c>
    </row>
    <row r="81" spans="1:4" ht="14.45">
      <c r="A81" s="3" t="s">
        <v>53</v>
      </c>
      <c r="B81" s="4">
        <f>63*B75/100000</f>
        <v>63</v>
      </c>
      <c r="C81" s="6">
        <v>450</v>
      </c>
      <c r="D81" s="4">
        <f t="shared" si="6"/>
        <v>28350</v>
      </c>
    </row>
    <row r="82" spans="1:4" ht="14.45">
      <c r="A82" s="3" t="s">
        <v>31</v>
      </c>
      <c r="B82" s="4">
        <f>16*B75/100000</f>
        <v>16</v>
      </c>
      <c r="C82" s="6">
        <v>440</v>
      </c>
      <c r="D82" s="4">
        <f t="shared" si="6"/>
        <v>7040</v>
      </c>
    </row>
    <row r="83" spans="1:4" ht="14.45">
      <c r="A83" s="3" t="s">
        <v>54</v>
      </c>
      <c r="B83" s="4">
        <f>1*B75/100000</f>
        <v>1</v>
      </c>
      <c r="C83" s="6">
        <v>19000</v>
      </c>
      <c r="D83" s="4">
        <f t="shared" si="6"/>
        <v>19000</v>
      </c>
    </row>
    <row r="84" spans="1:4" ht="14.45">
      <c r="A84" s="19" t="s">
        <v>32</v>
      </c>
      <c r="B84" s="20">
        <f>2.5*B75/100000</f>
        <v>2.5</v>
      </c>
      <c r="C84" s="21">
        <v>3900</v>
      </c>
      <c r="D84" s="20">
        <f t="shared" si="6"/>
        <v>9750</v>
      </c>
    </row>
    <row r="85" spans="1:4" ht="14.45">
      <c r="A85" s="22" t="s">
        <v>65</v>
      </c>
      <c r="B85" s="23">
        <f>7.2*B75/100000</f>
        <v>7.2</v>
      </c>
      <c r="C85" s="24">
        <v>1700</v>
      </c>
      <c r="D85" s="23">
        <f t="shared" si="6"/>
        <v>12240</v>
      </c>
    </row>
    <row r="86" spans="1:4">
      <c r="A86" s="7" t="s">
        <v>75</v>
      </c>
      <c r="B86" s="8"/>
      <c r="D86" s="9">
        <f>SUM(D77:D85)</f>
        <v>127810</v>
      </c>
    </row>
    <row r="88" spans="1:4">
      <c r="A88" s="17" t="s">
        <v>82</v>
      </c>
      <c r="B88" s="18">
        <v>100000</v>
      </c>
    </row>
    <row r="89" spans="1:4" ht="14.45">
      <c r="A89" s="15"/>
      <c r="B89" s="16" t="s">
        <v>23</v>
      </c>
      <c r="C89" s="2" t="s">
        <v>24</v>
      </c>
      <c r="D89" s="1" t="s">
        <v>25</v>
      </c>
    </row>
    <row r="90" spans="1:4" ht="14.45">
      <c r="A90" s="25" t="s">
        <v>26</v>
      </c>
      <c r="B90" s="26">
        <f>12*B88/100000</f>
        <v>12</v>
      </c>
      <c r="C90" s="6">
        <v>14000</v>
      </c>
      <c r="D90" s="4">
        <f t="shared" ref="D90:D100" si="7">B90*C90</f>
        <v>168000</v>
      </c>
    </row>
    <row r="91" spans="1:4" ht="14.45">
      <c r="A91" s="3" t="s">
        <v>27</v>
      </c>
      <c r="B91" s="4">
        <f>8.6*B88/100000</f>
        <v>8.6</v>
      </c>
      <c r="C91" s="6">
        <v>1600</v>
      </c>
      <c r="D91" s="4">
        <f t="shared" si="7"/>
        <v>13760</v>
      </c>
    </row>
    <row r="92" spans="1:4" ht="14.45">
      <c r="A92" s="3" t="s">
        <v>51</v>
      </c>
      <c r="B92" s="4">
        <f>22*B88/100000</f>
        <v>22</v>
      </c>
      <c r="C92" s="6">
        <v>2300</v>
      </c>
      <c r="D92" s="4">
        <f t="shared" si="7"/>
        <v>50600</v>
      </c>
    </row>
    <row r="93" spans="1:4" ht="14.45">
      <c r="A93" s="3" t="s">
        <v>57</v>
      </c>
      <c r="B93" s="4">
        <f>8.4*B88/100000</f>
        <v>8.4</v>
      </c>
      <c r="C93" s="6">
        <f>1600+730</f>
        <v>2330</v>
      </c>
      <c r="D93" s="4">
        <f t="shared" si="7"/>
        <v>19572</v>
      </c>
    </row>
    <row r="94" spans="1:4" ht="14.45">
      <c r="A94" s="3" t="s">
        <v>28</v>
      </c>
      <c r="B94" s="4">
        <f>220*B88/100000</f>
        <v>220</v>
      </c>
      <c r="C94" s="6">
        <v>180</v>
      </c>
      <c r="D94" s="4">
        <f t="shared" si="7"/>
        <v>39600</v>
      </c>
    </row>
    <row r="95" spans="1:4" ht="14.45">
      <c r="A95" s="3" t="s">
        <v>53</v>
      </c>
      <c r="B95" s="4">
        <f>22*B88/100000</f>
        <v>22</v>
      </c>
      <c r="C95" s="6">
        <v>450</v>
      </c>
      <c r="D95" s="4">
        <f t="shared" si="7"/>
        <v>9900</v>
      </c>
    </row>
    <row r="96" spans="1:4" ht="14.45">
      <c r="A96" s="3" t="s">
        <v>31</v>
      </c>
      <c r="B96" s="4">
        <f>130*B88/100000</f>
        <v>130</v>
      </c>
      <c r="C96" s="6">
        <v>440</v>
      </c>
      <c r="D96" s="4">
        <f t="shared" si="7"/>
        <v>57200</v>
      </c>
    </row>
    <row r="97" spans="1:4" ht="14.45">
      <c r="A97" s="3" t="s">
        <v>54</v>
      </c>
      <c r="B97" s="4">
        <f>1.5*B88/100000</f>
        <v>1.5</v>
      </c>
      <c r="C97" s="6">
        <v>19000</v>
      </c>
      <c r="D97" s="4">
        <f t="shared" si="7"/>
        <v>28500</v>
      </c>
    </row>
    <row r="98" spans="1:4" ht="14.45">
      <c r="A98" s="19" t="s">
        <v>58</v>
      </c>
      <c r="B98" s="20">
        <f>16*B88/100000</f>
        <v>16</v>
      </c>
      <c r="C98" s="21">
        <v>3500</v>
      </c>
      <c r="D98" s="20">
        <f t="shared" si="7"/>
        <v>56000</v>
      </c>
    </row>
    <row r="99" spans="1:4" ht="14.45">
      <c r="A99" s="22" t="s">
        <v>59</v>
      </c>
      <c r="B99" s="23">
        <f>108*B88/100000</f>
        <v>108</v>
      </c>
      <c r="C99" s="24">
        <v>115</v>
      </c>
      <c r="D99" s="23">
        <f t="shared" si="7"/>
        <v>12420</v>
      </c>
    </row>
    <row r="100" spans="1:4" ht="14.45">
      <c r="A100" s="22" t="s">
        <v>60</v>
      </c>
      <c r="B100" s="23">
        <f>1.5*B88/100000</f>
        <v>1.5</v>
      </c>
      <c r="C100" s="24">
        <v>5800</v>
      </c>
      <c r="D100" s="23">
        <f t="shared" si="7"/>
        <v>8700</v>
      </c>
    </row>
    <row r="101" spans="1:4">
      <c r="A101" s="7" t="s">
        <v>75</v>
      </c>
      <c r="B101" s="8"/>
      <c r="D101" s="9">
        <f>SUM(D91:D100)</f>
        <v>296252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5FC1-E9E7-425F-91C0-C3FF1C1BC3FA}">
  <dimension ref="A1:L37"/>
  <sheetViews>
    <sheetView zoomScaleNormal="100" workbookViewId="0">
      <selection activeCell="J6" sqref="J6"/>
    </sheetView>
  </sheetViews>
  <sheetFormatPr defaultRowHeight="13.15"/>
  <cols>
    <col min="1" max="1" width="37.42578125" bestFit="1" customWidth="1"/>
    <col min="2" max="2" width="27" bestFit="1" customWidth="1"/>
    <col min="3" max="3" width="16.28515625" bestFit="1" customWidth="1"/>
    <col min="4" max="4" width="19" customWidth="1"/>
    <col min="5" max="5" width="20.5703125" customWidth="1"/>
    <col min="6" max="6" width="18.5703125" customWidth="1"/>
    <col min="7" max="7" width="14" bestFit="1" customWidth="1"/>
    <col min="8" max="8" width="20.42578125" bestFit="1" customWidth="1"/>
    <col min="9" max="9" width="16.85546875" customWidth="1"/>
    <col min="10" max="10" width="14" customWidth="1"/>
    <col min="12" max="12" width="10.85546875" customWidth="1"/>
  </cols>
  <sheetData>
    <row r="1" spans="1:12" ht="15.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28" t="s">
        <v>1</v>
      </c>
      <c r="B2" s="4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15">
      <c r="A3" s="28" t="s">
        <v>3</v>
      </c>
      <c r="B3" s="29">
        <v>75000</v>
      </c>
      <c r="C3" s="28"/>
      <c r="D3" s="30" t="s">
        <v>4</v>
      </c>
      <c r="E3" s="28"/>
      <c r="F3" s="28"/>
      <c r="G3" s="28"/>
      <c r="H3" s="31" t="s">
        <v>5</v>
      </c>
      <c r="I3" s="28"/>
      <c r="J3" s="28"/>
      <c r="K3" s="28"/>
      <c r="L3" s="28"/>
    </row>
    <row r="4" spans="1:12" ht="56.25" customHeight="1">
      <c r="A4" s="28"/>
      <c r="B4" s="32"/>
      <c r="C4" s="28" t="s">
        <v>6</v>
      </c>
      <c r="D4" s="33" t="s">
        <v>7</v>
      </c>
      <c r="E4" s="34" t="s">
        <v>8</v>
      </c>
      <c r="F4" s="34" t="s">
        <v>45</v>
      </c>
      <c r="G4" s="28"/>
      <c r="H4" s="35" t="s">
        <v>10</v>
      </c>
      <c r="I4" s="36" t="s">
        <v>11</v>
      </c>
      <c r="J4" s="45" t="s">
        <v>12</v>
      </c>
      <c r="K4" s="36" t="s">
        <v>13</v>
      </c>
      <c r="L4" s="45" t="s">
        <v>14</v>
      </c>
    </row>
    <row r="5" spans="1:12" ht="15">
      <c r="A5" s="37" t="s">
        <v>15</v>
      </c>
      <c r="B5" s="29">
        <v>2000</v>
      </c>
      <c r="C5" s="37"/>
      <c r="D5" s="59">
        <f>B5/B32</f>
        <v>41.025641025641029</v>
      </c>
      <c r="E5" s="69" t="s">
        <v>16</v>
      </c>
      <c r="F5" s="58">
        <f>B34*D5</f>
        <v>101333.33333333334</v>
      </c>
      <c r="G5" s="28"/>
      <c r="H5" s="38"/>
      <c r="I5" s="28"/>
      <c r="J5" s="28"/>
      <c r="K5" s="28"/>
      <c r="L5" s="60">
        <f>F5/K6</f>
        <v>1.7132712438338578</v>
      </c>
    </row>
    <row r="6" spans="1:12" ht="15.6">
      <c r="A6" s="39" t="s">
        <v>17</v>
      </c>
      <c r="B6" s="32"/>
      <c r="C6" s="28"/>
      <c r="D6" s="50" t="s">
        <v>17</v>
      </c>
      <c r="E6" s="39"/>
      <c r="F6" s="39"/>
      <c r="G6" s="28"/>
      <c r="H6" s="40">
        <v>963.86</v>
      </c>
      <c r="I6" s="39">
        <f>H6*365*1.2</f>
        <v>422170.68</v>
      </c>
      <c r="J6" s="39">
        <f>B27-I6</f>
        <v>845618.82000000007</v>
      </c>
      <c r="K6" s="39">
        <f>0.1401*I6</f>
        <v>59146.112267999997</v>
      </c>
      <c r="L6" s="63"/>
    </row>
    <row r="7" spans="1:12" ht="15">
      <c r="A7" s="41" t="s">
        <v>18</v>
      </c>
      <c r="B7" s="29">
        <v>200</v>
      </c>
      <c r="C7" s="41"/>
      <c r="D7" s="70">
        <f>B7</f>
        <v>200</v>
      </c>
      <c r="E7" s="42">
        <f>B7*B32</f>
        <v>9750</v>
      </c>
      <c r="F7" s="42">
        <f>B34*B7</f>
        <v>494000</v>
      </c>
      <c r="G7" s="28"/>
      <c r="H7" s="43"/>
      <c r="I7" s="28"/>
      <c r="J7" s="28"/>
      <c r="K7" s="28"/>
      <c r="L7" s="60">
        <f>F7/K6</f>
        <v>8.3521973136900556</v>
      </c>
    </row>
    <row r="8" spans="1:12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31.15">
      <c r="C9" s="28"/>
      <c r="D9" s="47" t="s">
        <v>19</v>
      </c>
      <c r="E9" s="28"/>
      <c r="F9" s="28"/>
      <c r="G9" s="28"/>
      <c r="J9" s="28"/>
      <c r="K9" s="28"/>
      <c r="L9" s="28"/>
    </row>
    <row r="10" spans="1:12" ht="49.5" customHeight="1">
      <c r="D10" s="46" t="s">
        <v>20</v>
      </c>
      <c r="E10" s="61">
        <f>B28</f>
        <v>3473.3958904109591</v>
      </c>
      <c r="F10" s="28"/>
      <c r="G10" s="28"/>
      <c r="J10" s="28"/>
      <c r="K10" s="28"/>
      <c r="L10" s="28"/>
    </row>
    <row r="11" spans="1:12" ht="45">
      <c r="D11" s="49" t="s">
        <v>21</v>
      </c>
      <c r="E11" s="62">
        <f>SUM(D18,D20,D24,D25,D26)/B27*100</f>
        <v>78.076013407588576</v>
      </c>
      <c r="F11" s="28"/>
      <c r="G11" s="28"/>
      <c r="J11" s="28"/>
      <c r="K11" s="28"/>
      <c r="L11" s="28"/>
    </row>
    <row r="12" spans="1:12" ht="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5.6">
      <c r="A13" s="45"/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5">
      <c r="A14" s="28" t="s">
        <v>46</v>
      </c>
      <c r="B14" s="28" t="s">
        <v>47</v>
      </c>
      <c r="C14" s="28"/>
      <c r="D14" s="45"/>
      <c r="E14" s="28"/>
      <c r="F14" s="45"/>
      <c r="G14" s="28"/>
      <c r="H14" s="28"/>
      <c r="I14" s="28"/>
      <c r="J14" s="28"/>
      <c r="K14" s="28"/>
      <c r="L14" s="28"/>
    </row>
    <row r="15" spans="1:12" ht="15">
      <c r="A15" s="28" t="s">
        <v>48</v>
      </c>
      <c r="B15" s="28" t="s">
        <v>47</v>
      </c>
      <c r="C15" s="28"/>
    </row>
    <row r="16" spans="1:12" ht="15">
      <c r="A16" s="28" t="s">
        <v>49</v>
      </c>
      <c r="B16" s="28" t="str">
        <f>IF(B13&gt;=B38,"Yes","No")</f>
        <v>Yes</v>
      </c>
      <c r="C16" s="28"/>
    </row>
    <row r="17" spans="1:5" ht="14.45">
      <c r="A17" s="52" t="s">
        <v>50</v>
      </c>
      <c r="B17" s="51" t="s">
        <v>23</v>
      </c>
      <c r="C17" s="53" t="s">
        <v>24</v>
      </c>
      <c r="D17" s="1" t="s">
        <v>25</v>
      </c>
    </row>
    <row r="18" spans="1:5" ht="14.45">
      <c r="A18" s="3" t="s">
        <v>27</v>
      </c>
      <c r="B18" s="26">
        <f>18*B3/100000</f>
        <v>13.5</v>
      </c>
      <c r="C18" s="6">
        <v>1600</v>
      </c>
      <c r="D18" s="4">
        <f t="shared" ref="D18:D25" si="0">B18*C18</f>
        <v>21600</v>
      </c>
    </row>
    <row r="19" spans="1:5" ht="14.45">
      <c r="A19" s="3" t="s">
        <v>51</v>
      </c>
      <c r="B19" s="4">
        <f>22*B3/100000</f>
        <v>16.5</v>
      </c>
      <c r="C19" s="6">
        <v>4300</v>
      </c>
      <c r="D19" s="4">
        <f t="shared" si="0"/>
        <v>70950</v>
      </c>
    </row>
    <row r="20" spans="1:5" ht="14.45">
      <c r="A20" s="3" t="s">
        <v>52</v>
      </c>
      <c r="B20" s="4">
        <f>6.2*B3/100000</f>
        <v>4.6500000000000004</v>
      </c>
      <c r="C20" s="6">
        <f>93000+73000+28000</f>
        <v>194000</v>
      </c>
      <c r="D20" s="4">
        <f t="shared" si="0"/>
        <v>902100.00000000012</v>
      </c>
    </row>
    <row r="21" spans="1:5" ht="14.45">
      <c r="A21" s="3" t="s">
        <v>28</v>
      </c>
      <c r="B21" s="4">
        <f>350*B3/100000</f>
        <v>262.5</v>
      </c>
      <c r="C21" s="6">
        <v>180</v>
      </c>
      <c r="D21" s="4">
        <f t="shared" si="0"/>
        <v>47250</v>
      </c>
    </row>
    <row r="22" spans="1:5" ht="14.45">
      <c r="A22" s="3" t="s">
        <v>29</v>
      </c>
      <c r="B22" s="4">
        <f>120*B3/100000</f>
        <v>90</v>
      </c>
      <c r="C22" s="6">
        <v>350</v>
      </c>
      <c r="D22" s="4">
        <f t="shared" si="0"/>
        <v>31500</v>
      </c>
    </row>
    <row r="23" spans="1:5" ht="14.45">
      <c r="A23" s="3" t="s">
        <v>53</v>
      </c>
      <c r="B23" s="4">
        <f>380*B3/100000</f>
        <v>285</v>
      </c>
      <c r="C23" s="6">
        <v>450</v>
      </c>
      <c r="D23" s="4">
        <f t="shared" si="0"/>
        <v>128250</v>
      </c>
    </row>
    <row r="24" spans="1:5" ht="14.45">
      <c r="A24" s="3" t="s">
        <v>54</v>
      </c>
      <c r="B24" s="4">
        <f>1.2*B3/100000</f>
        <v>0.9</v>
      </c>
      <c r="C24" s="6">
        <v>19000</v>
      </c>
      <c r="D24" s="4">
        <f t="shared" si="0"/>
        <v>17100</v>
      </c>
    </row>
    <row r="25" spans="1:5" ht="14.45">
      <c r="A25" s="19" t="s">
        <v>32</v>
      </c>
      <c r="B25" s="20">
        <f>1.8*B3/100000</f>
        <v>1.35</v>
      </c>
      <c r="C25" s="21">
        <v>3900</v>
      </c>
      <c r="D25" s="20">
        <f t="shared" si="0"/>
        <v>5265</v>
      </c>
    </row>
    <row r="26" spans="1:5" ht="14.45">
      <c r="A26" s="22" t="s">
        <v>55</v>
      </c>
      <c r="B26" s="23">
        <f>2.2*B3/100000</f>
        <v>1.65</v>
      </c>
      <c r="C26" s="24">
        <f>6030+20500</f>
        <v>26530</v>
      </c>
      <c r="D26" s="23">
        <f>B26*C26</f>
        <v>43774.5</v>
      </c>
    </row>
    <row r="27" spans="1:5">
      <c r="A27" s="7" t="s">
        <v>34</v>
      </c>
      <c r="B27" s="7">
        <f>SUM(D18:D26)</f>
        <v>1267789.5</v>
      </c>
      <c r="D27" s="54"/>
    </row>
    <row r="28" spans="1:5">
      <c r="A28" s="7" t="s">
        <v>35</v>
      </c>
      <c r="B28" s="55">
        <f>B27/365</f>
        <v>3473.3958904109591</v>
      </c>
      <c r="D28" s="54"/>
    </row>
    <row r="29" spans="1:5">
      <c r="A29" s="7" t="s">
        <v>36</v>
      </c>
      <c r="B29" s="7">
        <f>B27*0.1408</f>
        <v>178504.7616</v>
      </c>
    </row>
    <row r="31" spans="1:5">
      <c r="A31" s="11" t="s">
        <v>37</v>
      </c>
      <c r="B31" s="56" t="s">
        <v>38</v>
      </c>
      <c r="C31" s="56" t="s">
        <v>39</v>
      </c>
      <c r="D31" s="56" t="s">
        <v>40</v>
      </c>
      <c r="E31" s="56" t="s">
        <v>41</v>
      </c>
    </row>
    <row r="32" spans="1:5" ht="29.25" customHeight="1">
      <c r="A32" s="57" t="s">
        <v>42</v>
      </c>
      <c r="B32">
        <v>48.75</v>
      </c>
      <c r="C32">
        <v>17.55</v>
      </c>
      <c r="D32">
        <v>22.1</v>
      </c>
      <c r="E32">
        <v>360</v>
      </c>
    </row>
    <row r="33" spans="1:5">
      <c r="A33" s="56"/>
    </row>
    <row r="34" spans="1:5">
      <c r="A34" s="10" t="s">
        <v>43</v>
      </c>
      <c r="B34">
        <v>2470</v>
      </c>
      <c r="D34" s="56"/>
      <c r="E34" s="13"/>
    </row>
    <row r="35" spans="1:5" ht="25.5" customHeight="1">
      <c r="A35" s="14" t="s">
        <v>44</v>
      </c>
      <c r="B35">
        <v>6.6</v>
      </c>
    </row>
    <row r="37" spans="1:5">
      <c r="A37" s="56"/>
      <c r="B37" s="56"/>
    </row>
  </sheetData>
  <conditionalFormatting sqref="B16">
    <cfRule type="containsText" dxfId="15" priority="1" operator="containsText" text="Yes">
      <formula>NOT(ISERROR(SEARCH("Yes",B16)))</formula>
    </cfRule>
    <cfRule type="containsText" dxfId="14" priority="2" operator="containsText" text="No">
      <formula>NOT(ISERROR(SEARCH("No",B16)))</formula>
    </cfRule>
  </conditionalFormatting>
  <pageMargins left="0.7" right="0.7" top="0.75" bottom="0.75" header="0.3" footer="0.3"/>
  <pageSetup orientation="portrait" horizontalDpi="1200" verticalDpi="12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B120-4FBA-47D5-B752-829B85DF5D0C}">
  <dimension ref="A1:L40"/>
  <sheetViews>
    <sheetView zoomScaleNormal="100" workbookViewId="0">
      <selection activeCell="E11" sqref="E11"/>
    </sheetView>
  </sheetViews>
  <sheetFormatPr defaultRowHeight="13.15"/>
  <cols>
    <col min="1" max="1" width="37.42578125" bestFit="1" customWidth="1"/>
    <col min="2" max="2" width="27" bestFit="1" customWidth="1"/>
    <col min="3" max="3" width="16.28515625" bestFit="1" customWidth="1"/>
    <col min="4" max="4" width="19" customWidth="1"/>
    <col min="5" max="5" width="20.5703125" customWidth="1"/>
    <col min="6" max="6" width="18.5703125" customWidth="1"/>
    <col min="7" max="7" width="14" bestFit="1" customWidth="1"/>
    <col min="8" max="8" width="20.42578125" bestFit="1" customWidth="1"/>
    <col min="9" max="9" width="16.85546875" customWidth="1"/>
    <col min="10" max="10" width="14" customWidth="1"/>
    <col min="12" max="12" width="10.85546875" customWidth="1"/>
  </cols>
  <sheetData>
    <row r="1" spans="1:12" ht="15.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28" t="s">
        <v>1</v>
      </c>
      <c r="B2" s="4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15">
      <c r="A3" s="28" t="s">
        <v>3</v>
      </c>
      <c r="B3" s="29">
        <v>75000</v>
      </c>
      <c r="C3" s="28"/>
      <c r="D3" s="30" t="s">
        <v>4</v>
      </c>
      <c r="E3" s="28"/>
      <c r="F3" s="28"/>
      <c r="G3" s="28"/>
      <c r="H3" s="31" t="s">
        <v>5</v>
      </c>
      <c r="I3" s="28"/>
      <c r="J3" s="28"/>
      <c r="K3" s="28"/>
      <c r="L3" s="28"/>
    </row>
    <row r="4" spans="1:12" ht="56.25" customHeight="1">
      <c r="A4" s="28"/>
      <c r="B4" s="32"/>
      <c r="C4" s="28" t="s">
        <v>6</v>
      </c>
      <c r="D4" s="33" t="s">
        <v>7</v>
      </c>
      <c r="E4" s="34" t="s">
        <v>8</v>
      </c>
      <c r="F4" s="34" t="s">
        <v>45</v>
      </c>
      <c r="G4" s="28"/>
      <c r="H4" s="35" t="s">
        <v>10</v>
      </c>
      <c r="I4" s="36" t="s">
        <v>11</v>
      </c>
      <c r="J4" s="45" t="s">
        <v>12</v>
      </c>
      <c r="K4" s="36" t="s">
        <v>13</v>
      </c>
      <c r="L4" s="45" t="s">
        <v>14</v>
      </c>
    </row>
    <row r="5" spans="1:12" ht="15">
      <c r="A5" s="37" t="s">
        <v>15</v>
      </c>
      <c r="B5" s="29">
        <v>2000</v>
      </c>
      <c r="C5" s="37"/>
      <c r="D5" s="59">
        <f>B5/B35</f>
        <v>41.025641025641029</v>
      </c>
      <c r="E5" s="69" t="s">
        <v>16</v>
      </c>
      <c r="F5" s="58">
        <f>B37*D5</f>
        <v>101333.33333333334</v>
      </c>
      <c r="G5" s="28"/>
      <c r="H5" s="38"/>
      <c r="I5" s="28"/>
      <c r="J5" s="28"/>
      <c r="K5" s="28"/>
      <c r="L5" s="60">
        <f>F5/K6</f>
        <v>1.7132712438338578</v>
      </c>
    </row>
    <row r="6" spans="1:12" ht="15.6">
      <c r="A6" s="39" t="s">
        <v>17</v>
      </c>
      <c r="B6" s="32"/>
      <c r="C6" s="28"/>
      <c r="D6" s="50" t="s">
        <v>17</v>
      </c>
      <c r="E6" s="39"/>
      <c r="F6" s="39"/>
      <c r="G6" s="28"/>
      <c r="H6" s="40">
        <v>963.86</v>
      </c>
      <c r="I6" s="39">
        <f>H6*365*1.2</f>
        <v>422170.68</v>
      </c>
      <c r="J6" s="39">
        <f>B30-I6</f>
        <v>-89821.68</v>
      </c>
      <c r="K6" s="39">
        <f>0.1401*I6</f>
        <v>59146.112267999997</v>
      </c>
      <c r="L6" s="63"/>
    </row>
    <row r="7" spans="1:12" ht="15">
      <c r="A7" s="41" t="s">
        <v>18</v>
      </c>
      <c r="B7" s="29">
        <v>200</v>
      </c>
      <c r="C7" s="41"/>
      <c r="D7" s="70">
        <f>B7</f>
        <v>200</v>
      </c>
      <c r="E7" s="42">
        <f>B7*B35</f>
        <v>9750</v>
      </c>
      <c r="F7" s="42">
        <f>B37*B7</f>
        <v>494000</v>
      </c>
      <c r="G7" s="28"/>
      <c r="H7" s="43"/>
      <c r="I7" s="28"/>
      <c r="J7" s="28"/>
      <c r="K7" s="28"/>
      <c r="L7" s="60">
        <f>F7/K6</f>
        <v>8.3521973136900556</v>
      </c>
    </row>
    <row r="8" spans="1:12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31.15">
      <c r="C9" s="28"/>
      <c r="D9" s="47" t="s">
        <v>19</v>
      </c>
      <c r="E9" s="28"/>
      <c r="F9" s="28"/>
      <c r="G9" s="28"/>
      <c r="J9" s="28"/>
      <c r="K9" s="28"/>
      <c r="L9" s="28"/>
    </row>
    <row r="10" spans="1:12" ht="49.5" customHeight="1">
      <c r="D10" s="46" t="s">
        <v>20</v>
      </c>
      <c r="E10" s="61">
        <f>B31</f>
        <v>910.54520547945208</v>
      </c>
      <c r="F10" s="28"/>
      <c r="G10" s="28"/>
      <c r="J10" s="28"/>
      <c r="K10" s="28"/>
      <c r="L10" s="28"/>
    </row>
    <row r="11" spans="1:12" ht="45">
      <c r="D11" s="49" t="s">
        <v>21</v>
      </c>
      <c r="E11" s="62">
        <f>SUM(D18,D20,D24,D22,D26)/B30*100</f>
        <v>83.812498307502054</v>
      </c>
      <c r="F11" s="28"/>
      <c r="G11" s="28"/>
      <c r="J11" s="28"/>
      <c r="K11" s="28"/>
      <c r="L11" s="28"/>
    </row>
    <row r="12" spans="1:12" ht="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5.6">
      <c r="A13" s="45"/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5">
      <c r="A14" s="28" t="s">
        <v>46</v>
      </c>
      <c r="B14" s="28" t="s">
        <v>47</v>
      </c>
      <c r="C14" s="28"/>
      <c r="D14" s="45"/>
      <c r="E14" s="28"/>
      <c r="F14" s="45"/>
      <c r="G14" s="28"/>
      <c r="H14" s="28"/>
      <c r="I14" s="28"/>
      <c r="J14" s="28"/>
      <c r="K14" s="28"/>
      <c r="L14" s="28"/>
    </row>
    <row r="15" spans="1:12" ht="15">
      <c r="A15" s="28" t="s">
        <v>48</v>
      </c>
      <c r="B15" s="28" t="s">
        <v>47</v>
      </c>
      <c r="C15" s="28"/>
    </row>
    <row r="16" spans="1:12" ht="15.6" thickBot="1">
      <c r="A16" s="28" t="s">
        <v>49</v>
      </c>
      <c r="B16" s="28" t="str">
        <f>IF(B13&gt;=B41,"Yes","No")</f>
        <v>Yes</v>
      </c>
      <c r="C16" s="28"/>
    </row>
    <row r="17" spans="1:4" ht="15" thickBot="1">
      <c r="A17" s="52" t="s">
        <v>56</v>
      </c>
      <c r="B17" s="51" t="s">
        <v>23</v>
      </c>
      <c r="C17" s="53" t="s">
        <v>24</v>
      </c>
      <c r="D17" s="1" t="s">
        <v>25</v>
      </c>
    </row>
    <row r="18" spans="1:4" ht="14.45">
      <c r="A18" s="25" t="s">
        <v>26</v>
      </c>
      <c r="B18" s="26">
        <f>12*B3/100000</f>
        <v>9</v>
      </c>
      <c r="C18" s="6">
        <v>14000</v>
      </c>
      <c r="D18" s="4">
        <f t="shared" ref="D18:D25" si="0">B18*C18</f>
        <v>126000</v>
      </c>
    </row>
    <row r="19" spans="1:4" ht="14.45">
      <c r="A19" s="3" t="s">
        <v>27</v>
      </c>
      <c r="B19" s="4">
        <f>8.6*B3/100000</f>
        <v>6.45</v>
      </c>
      <c r="C19" s="6">
        <v>1600</v>
      </c>
      <c r="D19" s="4">
        <f t="shared" si="0"/>
        <v>10320</v>
      </c>
    </row>
    <row r="20" spans="1:4" ht="14.45">
      <c r="A20" s="3" t="s">
        <v>51</v>
      </c>
      <c r="B20" s="4">
        <f>22*B3/100000</f>
        <v>16.5</v>
      </c>
      <c r="C20" s="6">
        <v>2300</v>
      </c>
      <c r="D20" s="4">
        <f t="shared" si="0"/>
        <v>37950</v>
      </c>
    </row>
    <row r="21" spans="1:4" ht="14.45">
      <c r="A21" s="3" t="s">
        <v>57</v>
      </c>
      <c r="B21" s="4">
        <f>8.4*B3/100000</f>
        <v>6.3</v>
      </c>
      <c r="C21" s="6">
        <v>2330</v>
      </c>
      <c r="D21" s="4">
        <f t="shared" si="0"/>
        <v>14679</v>
      </c>
    </row>
    <row r="22" spans="1:4" ht="14.45">
      <c r="A22" s="3" t="s">
        <v>28</v>
      </c>
      <c r="B22" s="4">
        <f>220*B3/100000</f>
        <v>165</v>
      </c>
      <c r="C22" s="6">
        <v>180</v>
      </c>
      <c r="D22" s="4">
        <f t="shared" si="0"/>
        <v>29700</v>
      </c>
    </row>
    <row r="23" spans="1:4" ht="14.45">
      <c r="A23" s="3" t="s">
        <v>53</v>
      </c>
      <c r="B23" s="4">
        <f>22*B3/100000</f>
        <v>16.5</v>
      </c>
      <c r="C23" s="6">
        <v>450</v>
      </c>
      <c r="D23" s="4">
        <f t="shared" si="0"/>
        <v>7425</v>
      </c>
    </row>
    <row r="24" spans="1:4" ht="14.45">
      <c r="A24" s="3" t="s">
        <v>31</v>
      </c>
      <c r="B24" s="4">
        <f>130*B3/100000</f>
        <v>97.5</v>
      </c>
      <c r="C24" s="6">
        <v>440</v>
      </c>
      <c r="D24" s="4">
        <f t="shared" si="0"/>
        <v>42900</v>
      </c>
    </row>
    <row r="25" spans="1:4" ht="14.45">
      <c r="A25" s="3" t="s">
        <v>54</v>
      </c>
      <c r="B25" s="20">
        <f>1.5*B3/100000</f>
        <v>1.125</v>
      </c>
      <c r="C25" s="6">
        <v>19000</v>
      </c>
      <c r="D25" s="20">
        <f t="shared" si="0"/>
        <v>21375</v>
      </c>
    </row>
    <row r="26" spans="1:4" ht="14.45">
      <c r="A26" s="19" t="s">
        <v>58</v>
      </c>
      <c r="B26" s="23">
        <f>16*B3/100000</f>
        <v>12</v>
      </c>
      <c r="C26" s="21">
        <v>3500</v>
      </c>
      <c r="D26" s="23">
        <f>B26*C26</f>
        <v>42000</v>
      </c>
    </row>
    <row r="27" spans="1:4" ht="14.45">
      <c r="A27" s="22" t="s">
        <v>59</v>
      </c>
      <c r="B27" s="23">
        <f>108*B3/100000</f>
        <v>81</v>
      </c>
      <c r="C27" s="24">
        <v>115</v>
      </c>
      <c r="D27" s="23">
        <f t="shared" ref="D27:D28" si="1">B27*C27</f>
        <v>9315</v>
      </c>
    </row>
    <row r="28" spans="1:4" ht="14.45">
      <c r="A28" s="22" t="s">
        <v>60</v>
      </c>
      <c r="B28" s="23">
        <f>1.5*B3/100000</f>
        <v>1.125</v>
      </c>
      <c r="C28" s="24">
        <v>5800</v>
      </c>
      <c r="D28" s="23">
        <f t="shared" si="1"/>
        <v>6525</v>
      </c>
    </row>
    <row r="29" spans="1:4" ht="14.45">
      <c r="A29" s="65"/>
      <c r="B29" s="8"/>
      <c r="C29" s="66"/>
      <c r="D29" s="8"/>
    </row>
    <row r="30" spans="1:4">
      <c r="A30" s="7" t="s">
        <v>34</v>
      </c>
      <c r="B30" s="7">
        <f>SUM(D18:D26)</f>
        <v>332349</v>
      </c>
      <c r="D30" s="54"/>
    </row>
    <row r="31" spans="1:4">
      <c r="A31" s="7" t="s">
        <v>35</v>
      </c>
      <c r="B31" s="55">
        <f>B30/365</f>
        <v>910.54520547945208</v>
      </c>
      <c r="D31" s="54"/>
    </row>
    <row r="32" spans="1:4">
      <c r="A32" s="7" t="s">
        <v>36</v>
      </c>
      <c r="B32" s="7">
        <f>B30*0.1408</f>
        <v>46794.739200000004</v>
      </c>
    </row>
    <row r="34" spans="1:5">
      <c r="A34" s="11" t="s">
        <v>37</v>
      </c>
      <c r="B34" s="56" t="s">
        <v>38</v>
      </c>
      <c r="C34" s="56" t="s">
        <v>39</v>
      </c>
      <c r="D34" s="56" t="s">
        <v>40</v>
      </c>
      <c r="E34" s="56" t="s">
        <v>41</v>
      </c>
    </row>
    <row r="35" spans="1:5" ht="29.25" customHeight="1">
      <c r="A35" s="57" t="s">
        <v>42</v>
      </c>
      <c r="B35">
        <v>48.75</v>
      </c>
      <c r="C35">
        <v>17.55</v>
      </c>
      <c r="D35">
        <v>22.1</v>
      </c>
      <c r="E35">
        <v>360</v>
      </c>
    </row>
    <row r="36" spans="1:5">
      <c r="A36" s="56"/>
    </row>
    <row r="37" spans="1:5">
      <c r="A37" s="10" t="s">
        <v>43</v>
      </c>
      <c r="B37">
        <v>2470</v>
      </c>
      <c r="D37" s="56"/>
      <c r="E37" s="13"/>
    </row>
    <row r="38" spans="1:5" ht="25.5" customHeight="1">
      <c r="A38" s="14" t="s">
        <v>44</v>
      </c>
      <c r="B38">
        <v>6.6</v>
      </c>
    </row>
    <row r="40" spans="1:5">
      <c r="A40" s="56"/>
      <c r="B40" s="56"/>
    </row>
  </sheetData>
  <conditionalFormatting sqref="B16">
    <cfRule type="containsText" dxfId="13" priority="1" operator="containsText" text="Yes">
      <formula>NOT(ISERROR(SEARCH("Yes",B16)))</formula>
    </cfRule>
    <cfRule type="containsText" dxfId="12" priority="2" operator="containsText" text="No">
      <formula>NOT(ISERROR(SEARCH("No",B16)))</formula>
    </cfRule>
  </conditionalFormatting>
  <pageMargins left="0.7" right="0.7" top="0.75" bottom="0.75" header="0.3" footer="0.3"/>
  <pageSetup orientation="portrait" horizontalDpi="1200" verticalDpi="12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526A-DD52-4370-97F2-02DB04A88DAE}">
  <dimension ref="A1:L39"/>
  <sheetViews>
    <sheetView zoomScaleNormal="100" workbookViewId="0">
      <selection activeCell="A17" sqref="A17"/>
    </sheetView>
  </sheetViews>
  <sheetFormatPr defaultRowHeight="13.15"/>
  <cols>
    <col min="1" max="1" width="37.42578125" bestFit="1" customWidth="1"/>
    <col min="2" max="2" width="27" bestFit="1" customWidth="1"/>
    <col min="3" max="3" width="16.28515625" bestFit="1" customWidth="1"/>
    <col min="4" max="4" width="19" customWidth="1"/>
    <col min="5" max="5" width="20.5703125" customWidth="1"/>
    <col min="6" max="6" width="18.5703125" customWidth="1"/>
    <col min="7" max="7" width="14" bestFit="1" customWidth="1"/>
    <col min="8" max="8" width="20.42578125" bestFit="1" customWidth="1"/>
    <col min="9" max="9" width="16.85546875" customWidth="1"/>
    <col min="10" max="10" width="14" customWidth="1"/>
    <col min="12" max="12" width="10.85546875" customWidth="1"/>
  </cols>
  <sheetData>
    <row r="1" spans="1:12" ht="15.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28" t="s">
        <v>1</v>
      </c>
      <c r="B2" s="4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15">
      <c r="A3" s="28" t="s">
        <v>3</v>
      </c>
      <c r="B3" s="29">
        <v>75000</v>
      </c>
      <c r="C3" s="28"/>
      <c r="D3" s="30" t="s">
        <v>4</v>
      </c>
      <c r="E3" s="28"/>
      <c r="F3" s="28"/>
      <c r="G3" s="28"/>
      <c r="H3" s="31" t="s">
        <v>5</v>
      </c>
      <c r="I3" s="28"/>
      <c r="J3" s="28"/>
      <c r="K3" s="28"/>
      <c r="L3" s="28"/>
    </row>
    <row r="4" spans="1:12" ht="56.25" customHeight="1">
      <c r="A4" s="28"/>
      <c r="B4" s="32"/>
      <c r="C4" s="28" t="s">
        <v>6</v>
      </c>
      <c r="D4" s="33" t="s">
        <v>7</v>
      </c>
      <c r="E4" s="34" t="s">
        <v>8</v>
      </c>
      <c r="F4" s="34" t="s">
        <v>45</v>
      </c>
      <c r="G4" s="28"/>
      <c r="H4" s="35" t="s">
        <v>10</v>
      </c>
      <c r="I4" s="36" t="s">
        <v>11</v>
      </c>
      <c r="J4" s="45" t="s">
        <v>12</v>
      </c>
      <c r="K4" s="36" t="s">
        <v>13</v>
      </c>
      <c r="L4" s="45" t="s">
        <v>14</v>
      </c>
    </row>
    <row r="5" spans="1:12" ht="15">
      <c r="A5" s="37" t="s">
        <v>15</v>
      </c>
      <c r="B5" s="29">
        <v>2000</v>
      </c>
      <c r="C5" s="37"/>
      <c r="D5" s="59">
        <f>B5/B34</f>
        <v>41.025641025641029</v>
      </c>
      <c r="E5" s="69" t="s">
        <v>16</v>
      </c>
      <c r="F5" s="58">
        <f>B36*D5</f>
        <v>101333.33333333334</v>
      </c>
      <c r="G5" s="28"/>
      <c r="H5" s="38"/>
      <c r="I5" s="28"/>
      <c r="J5" s="28"/>
      <c r="K5" s="28"/>
      <c r="L5" s="60">
        <f>F5/K6</f>
        <v>1.7132712438338578</v>
      </c>
    </row>
    <row r="6" spans="1:12" ht="15.6">
      <c r="A6" s="39" t="s">
        <v>17</v>
      </c>
      <c r="B6" s="32"/>
      <c r="C6" s="28"/>
      <c r="D6" s="50" t="s">
        <v>17</v>
      </c>
      <c r="E6" s="39"/>
      <c r="F6" s="39"/>
      <c r="G6" s="28"/>
      <c r="H6" s="40">
        <v>963.86</v>
      </c>
      <c r="I6" s="39">
        <f>H6*365*1.2</f>
        <v>422170.68</v>
      </c>
      <c r="J6" s="39">
        <f>B29-I6</f>
        <v>-326313.18</v>
      </c>
      <c r="K6" s="39">
        <f>0.1401*I6</f>
        <v>59146.112267999997</v>
      </c>
      <c r="L6" s="63"/>
    </row>
    <row r="7" spans="1:12" ht="15">
      <c r="A7" s="41" t="s">
        <v>18</v>
      </c>
      <c r="B7" s="29">
        <v>200</v>
      </c>
      <c r="C7" s="41"/>
      <c r="D7" s="70">
        <f>B7</f>
        <v>200</v>
      </c>
      <c r="E7" s="42">
        <f>B7*B34</f>
        <v>9750</v>
      </c>
      <c r="F7" s="42">
        <f>B36*B7</f>
        <v>494000</v>
      </c>
      <c r="G7" s="28"/>
      <c r="H7" s="43"/>
      <c r="I7" s="28"/>
      <c r="J7" s="28"/>
      <c r="K7" s="28"/>
      <c r="L7" s="60">
        <f>F7/K6</f>
        <v>8.3521973136900556</v>
      </c>
    </row>
    <row r="8" spans="1:12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31.15">
      <c r="C9" s="28"/>
      <c r="D9" s="47" t="s">
        <v>19</v>
      </c>
      <c r="E9" s="28"/>
      <c r="F9" s="28"/>
      <c r="G9" s="28"/>
      <c r="J9" s="28"/>
      <c r="K9" s="28"/>
      <c r="L9" s="28"/>
    </row>
    <row r="10" spans="1:12" ht="49.5" customHeight="1">
      <c r="D10" s="46" t="s">
        <v>20</v>
      </c>
      <c r="E10" s="61">
        <f>B30</f>
        <v>262.6232876712329</v>
      </c>
      <c r="F10" s="28"/>
      <c r="G10" s="28"/>
      <c r="J10" s="28"/>
      <c r="K10" s="28"/>
      <c r="L10" s="28"/>
    </row>
    <row r="11" spans="1:12" ht="45">
      <c r="D11" s="49" t="s">
        <v>21</v>
      </c>
      <c r="E11" s="62">
        <f>SUM(D21, D22,D24,D18,D19)/B29*100</f>
        <v>68.766137234958137</v>
      </c>
      <c r="F11" s="28"/>
      <c r="G11" s="28"/>
      <c r="J11" s="28"/>
      <c r="K11" s="28"/>
      <c r="L11" s="28"/>
    </row>
    <row r="12" spans="1:12" ht="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5.6">
      <c r="A13" s="45"/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5">
      <c r="A14" s="28" t="s">
        <v>46</v>
      </c>
      <c r="B14" s="28" t="s">
        <v>47</v>
      </c>
      <c r="C14" s="28"/>
      <c r="D14" s="45"/>
      <c r="E14" s="28"/>
      <c r="F14" s="45"/>
      <c r="G14" s="28"/>
      <c r="H14" s="28"/>
      <c r="I14" s="28"/>
      <c r="J14" s="28"/>
      <c r="K14" s="28"/>
      <c r="L14" s="28"/>
    </row>
    <row r="15" spans="1:12" ht="15">
      <c r="A15" s="28" t="s">
        <v>48</v>
      </c>
      <c r="B15" s="28" t="s">
        <v>47</v>
      </c>
      <c r="C15" s="28"/>
    </row>
    <row r="16" spans="1:12" ht="15.6" thickBot="1">
      <c r="A16" s="28" t="s">
        <v>49</v>
      </c>
      <c r="B16" s="28" t="str">
        <f>IF(B13&gt;=B40,"Yes","No")</f>
        <v>Yes</v>
      </c>
      <c r="C16" s="28"/>
    </row>
    <row r="17" spans="1:4" ht="15" thickBot="1">
      <c r="A17" s="52" t="s">
        <v>61</v>
      </c>
      <c r="B17" s="51" t="s">
        <v>23</v>
      </c>
      <c r="C17" s="53" t="s">
        <v>24</v>
      </c>
      <c r="D17" s="1" t="s">
        <v>25</v>
      </c>
    </row>
    <row r="18" spans="1:4" ht="14.45">
      <c r="A18" s="3" t="s">
        <v>62</v>
      </c>
      <c r="B18" s="26">
        <f>4*B3/100000</f>
        <v>3</v>
      </c>
      <c r="C18" s="6">
        <v>3700</v>
      </c>
      <c r="D18" s="4">
        <f t="shared" ref="D18:D25" si="0">B18*C18</f>
        <v>11100</v>
      </c>
    </row>
    <row r="19" spans="1:4" ht="14.45">
      <c r="A19" s="3" t="s">
        <v>63</v>
      </c>
      <c r="B19" s="4">
        <f>9*B3/100000</f>
        <v>6.75</v>
      </c>
      <c r="C19" s="6">
        <v>1500</v>
      </c>
      <c r="D19" s="4">
        <f t="shared" si="0"/>
        <v>10125</v>
      </c>
    </row>
    <row r="20" spans="1:4" ht="14.45">
      <c r="A20" s="3" t="s">
        <v>64</v>
      </c>
      <c r="B20" s="4">
        <f>11*B3/100000</f>
        <v>8.25</v>
      </c>
      <c r="C20" s="6">
        <v>990</v>
      </c>
      <c r="D20" s="4">
        <f t="shared" si="0"/>
        <v>8167.5</v>
      </c>
    </row>
    <row r="21" spans="1:4" ht="14.45">
      <c r="A21" s="3" t="s">
        <v>28</v>
      </c>
      <c r="B21" s="4">
        <f>68*B3/100000</f>
        <v>51</v>
      </c>
      <c r="C21" s="6">
        <v>180</v>
      </c>
      <c r="D21" s="4">
        <f t="shared" si="0"/>
        <v>9180</v>
      </c>
    </row>
    <row r="22" spans="1:4" ht="14.45">
      <c r="A22" s="3" t="s">
        <v>53</v>
      </c>
      <c r="B22" s="4">
        <f>63*B3/100000</f>
        <v>47.25</v>
      </c>
      <c r="C22" s="6">
        <v>450</v>
      </c>
      <c r="D22" s="4">
        <f t="shared" si="0"/>
        <v>21262.5</v>
      </c>
    </row>
    <row r="23" spans="1:4" ht="14.45">
      <c r="A23" s="3" t="s">
        <v>31</v>
      </c>
      <c r="B23" s="4">
        <f>16*B3/100000</f>
        <v>12</v>
      </c>
      <c r="C23" s="6">
        <v>440</v>
      </c>
      <c r="D23" s="4">
        <f t="shared" si="0"/>
        <v>5280</v>
      </c>
    </row>
    <row r="24" spans="1:4" ht="14.45">
      <c r="A24" s="3" t="s">
        <v>54</v>
      </c>
      <c r="B24" s="4">
        <f>1*B3/100000</f>
        <v>0.75</v>
      </c>
      <c r="C24" s="6">
        <v>19000</v>
      </c>
      <c r="D24" s="4">
        <f t="shared" si="0"/>
        <v>14250</v>
      </c>
    </row>
    <row r="25" spans="1:4" ht="14.45">
      <c r="A25" s="19" t="s">
        <v>32</v>
      </c>
      <c r="B25" s="20">
        <f>2.5*B3/100000</f>
        <v>1.875</v>
      </c>
      <c r="C25" s="21">
        <v>3900</v>
      </c>
      <c r="D25" s="20">
        <f t="shared" si="0"/>
        <v>7312.5</v>
      </c>
    </row>
    <row r="26" spans="1:4" ht="14.45">
      <c r="A26" s="22" t="s">
        <v>65</v>
      </c>
      <c r="B26" s="23">
        <f>7.2*B3/100000</f>
        <v>5.4</v>
      </c>
      <c r="C26" s="24">
        <v>1700</v>
      </c>
      <c r="D26" s="23">
        <f>B26*C26</f>
        <v>9180</v>
      </c>
    </row>
    <row r="27" spans="1:4" ht="14.45">
      <c r="A27" s="65"/>
      <c r="B27" s="8"/>
      <c r="C27" s="66"/>
      <c r="D27" s="8"/>
    </row>
    <row r="28" spans="1:4" ht="14.45">
      <c r="A28" s="65"/>
      <c r="B28" s="8"/>
      <c r="C28" s="66"/>
      <c r="D28" s="8"/>
    </row>
    <row r="29" spans="1:4">
      <c r="A29" s="7" t="s">
        <v>34</v>
      </c>
      <c r="B29" s="7">
        <f>SUM(D18:D26)</f>
        <v>95857.5</v>
      </c>
      <c r="D29" s="54"/>
    </row>
    <row r="30" spans="1:4">
      <c r="A30" s="7" t="s">
        <v>35</v>
      </c>
      <c r="B30" s="55">
        <f>B29/365</f>
        <v>262.6232876712329</v>
      </c>
      <c r="D30" s="54"/>
    </row>
    <row r="31" spans="1:4">
      <c r="A31" s="7" t="s">
        <v>36</v>
      </c>
      <c r="B31" s="7">
        <f>B29*0.1408</f>
        <v>13496.736000000001</v>
      </c>
    </row>
    <row r="33" spans="1:5">
      <c r="A33" s="11" t="s">
        <v>37</v>
      </c>
      <c r="B33" s="56" t="s">
        <v>38</v>
      </c>
      <c r="C33" s="56" t="s">
        <v>39</v>
      </c>
      <c r="D33" s="56" t="s">
        <v>40</v>
      </c>
      <c r="E33" s="56" t="s">
        <v>41</v>
      </c>
    </row>
    <row r="34" spans="1:5" ht="29.25" customHeight="1">
      <c r="A34" s="57" t="s">
        <v>42</v>
      </c>
      <c r="B34">
        <v>48.75</v>
      </c>
      <c r="C34">
        <v>17.55</v>
      </c>
      <c r="D34">
        <v>22.1</v>
      </c>
      <c r="E34">
        <v>360</v>
      </c>
    </row>
    <row r="35" spans="1:5">
      <c r="A35" s="56"/>
    </row>
    <row r="36" spans="1:5">
      <c r="A36" s="10" t="s">
        <v>43</v>
      </c>
      <c r="B36">
        <v>2470</v>
      </c>
      <c r="D36" s="56"/>
      <c r="E36" s="13"/>
    </row>
    <row r="37" spans="1:5" ht="25.5" customHeight="1">
      <c r="A37" s="14" t="s">
        <v>44</v>
      </c>
      <c r="B37">
        <v>6.6</v>
      </c>
    </row>
    <row r="39" spans="1:5">
      <c r="A39" s="56"/>
      <c r="B39" s="56"/>
    </row>
  </sheetData>
  <conditionalFormatting sqref="B16">
    <cfRule type="containsText" dxfId="11" priority="1" operator="containsText" text="Yes">
      <formula>NOT(ISERROR(SEARCH("Yes",B16)))</formula>
    </cfRule>
    <cfRule type="containsText" dxfId="10" priority="2" operator="containsText" text="No">
      <formula>NOT(ISERROR(SEARCH("No",B16)))</formula>
    </cfRule>
  </conditionalFormatting>
  <pageMargins left="0.7" right="0.7" top="0.75" bottom="0.75" header="0.3" footer="0.3"/>
  <pageSetup orientation="portrait" horizontalDpi="1200" verticalDpi="12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D2B1-65C9-442B-83CB-8F4A85C9AF44}">
  <dimension ref="A1:L34"/>
  <sheetViews>
    <sheetView zoomScale="80" zoomScaleNormal="80" workbookViewId="0">
      <selection activeCell="E12" sqref="E12"/>
    </sheetView>
  </sheetViews>
  <sheetFormatPr defaultRowHeight="13.15"/>
  <cols>
    <col min="1" max="1" width="37.42578125" bestFit="1" customWidth="1"/>
    <col min="2" max="2" width="27" bestFit="1" customWidth="1"/>
    <col min="3" max="3" width="16.28515625" bestFit="1" customWidth="1"/>
    <col min="4" max="4" width="19" customWidth="1"/>
    <col min="5" max="5" width="20.5703125" customWidth="1"/>
    <col min="6" max="6" width="18.5703125" customWidth="1"/>
    <col min="7" max="7" width="14" bestFit="1" customWidth="1"/>
    <col min="8" max="8" width="20.42578125" bestFit="1" customWidth="1"/>
    <col min="9" max="9" width="16.85546875" customWidth="1"/>
    <col min="10" max="10" width="14" customWidth="1"/>
    <col min="12" max="12" width="10.85546875" customWidth="1"/>
  </cols>
  <sheetData>
    <row r="1" spans="1:12" ht="15.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28" t="s">
        <v>1</v>
      </c>
      <c r="B2" s="4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15">
      <c r="A3" s="28" t="s">
        <v>3</v>
      </c>
      <c r="B3" s="29">
        <v>75000</v>
      </c>
      <c r="C3" s="28"/>
      <c r="D3" s="30" t="s">
        <v>4</v>
      </c>
      <c r="E3" s="28"/>
      <c r="F3" s="28"/>
      <c r="G3" s="28"/>
      <c r="H3" s="31" t="s">
        <v>5</v>
      </c>
      <c r="I3" s="28"/>
      <c r="J3" s="28"/>
      <c r="K3" s="28"/>
      <c r="L3" s="28"/>
    </row>
    <row r="4" spans="1:12" ht="56.25" customHeight="1">
      <c r="A4" s="28"/>
      <c r="B4" s="32"/>
      <c r="C4" s="28" t="s">
        <v>6</v>
      </c>
      <c r="D4" s="33" t="s">
        <v>7</v>
      </c>
      <c r="E4" s="34" t="s">
        <v>8</v>
      </c>
      <c r="F4" s="34" t="s">
        <v>45</v>
      </c>
      <c r="G4" s="28"/>
      <c r="H4" s="35" t="s">
        <v>10</v>
      </c>
      <c r="I4" s="36" t="s">
        <v>11</v>
      </c>
      <c r="J4" s="45" t="s">
        <v>12</v>
      </c>
      <c r="K4" s="36" t="s">
        <v>13</v>
      </c>
      <c r="L4" s="45" t="s">
        <v>14</v>
      </c>
    </row>
    <row r="5" spans="1:12" ht="15">
      <c r="A5" s="37" t="s">
        <v>15</v>
      </c>
      <c r="B5" s="29">
        <v>2000</v>
      </c>
      <c r="C5" s="37"/>
      <c r="D5" s="59">
        <f>B5/B29</f>
        <v>41.025641025641029</v>
      </c>
      <c r="E5" s="69" t="s">
        <v>16</v>
      </c>
      <c r="F5" s="58">
        <f>B31*D5</f>
        <v>101333.33333333334</v>
      </c>
      <c r="G5" s="28"/>
      <c r="H5" s="38"/>
      <c r="I5" s="28"/>
      <c r="J5" s="28"/>
      <c r="K5" s="28"/>
      <c r="L5" s="60">
        <f>F5/K6</f>
        <v>1.7132712438338578</v>
      </c>
    </row>
    <row r="6" spans="1:12" ht="15.6">
      <c r="A6" s="39" t="s">
        <v>17</v>
      </c>
      <c r="B6" s="32"/>
      <c r="C6" s="28"/>
      <c r="D6" s="50" t="s">
        <v>17</v>
      </c>
      <c r="E6" s="39"/>
      <c r="F6" s="39"/>
      <c r="G6" s="28"/>
      <c r="H6" s="40">
        <v>963.86</v>
      </c>
      <c r="I6" s="39">
        <f>H6*365*1.2</f>
        <v>422170.68</v>
      </c>
      <c r="J6" s="39">
        <f>B24-I6</f>
        <v>15143.070000000007</v>
      </c>
      <c r="K6" s="39">
        <f>0.1401*I6</f>
        <v>59146.112267999997</v>
      </c>
      <c r="L6" s="63"/>
    </row>
    <row r="7" spans="1:12" ht="15">
      <c r="A7" s="41" t="s">
        <v>18</v>
      </c>
      <c r="B7" s="29">
        <v>200</v>
      </c>
      <c r="C7" s="41"/>
      <c r="D7" s="70">
        <f>B7</f>
        <v>200</v>
      </c>
      <c r="E7" s="42">
        <f>B7*B29</f>
        <v>9750</v>
      </c>
      <c r="F7" s="42">
        <f>B31*B7</f>
        <v>494000</v>
      </c>
      <c r="G7" s="28"/>
      <c r="H7" s="43"/>
      <c r="I7" s="28"/>
      <c r="J7" s="28"/>
      <c r="K7" s="28"/>
      <c r="L7" s="60">
        <f>F7/K6</f>
        <v>8.3521973136900556</v>
      </c>
    </row>
    <row r="8" spans="1:12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31.15">
      <c r="C9" s="28"/>
      <c r="D9" s="47" t="s">
        <v>19</v>
      </c>
      <c r="E9" s="28"/>
      <c r="F9" s="28"/>
      <c r="G9" s="28"/>
      <c r="J9" s="28"/>
      <c r="K9" s="28"/>
      <c r="L9" s="28"/>
    </row>
    <row r="10" spans="1:12" ht="49.5" customHeight="1">
      <c r="D10" s="46" t="s">
        <v>20</v>
      </c>
      <c r="E10" s="61">
        <f>B25</f>
        <v>1198.1198630136987</v>
      </c>
      <c r="F10" s="28"/>
      <c r="G10" s="28"/>
      <c r="J10" s="28"/>
      <c r="K10" s="28"/>
      <c r="L10" s="28"/>
    </row>
    <row r="11" spans="1:12" ht="45">
      <c r="D11" s="49" t="s">
        <v>21</v>
      </c>
      <c r="E11" s="62">
        <f>SUM(D22)/B24*100</f>
        <v>89.18082269308934</v>
      </c>
      <c r="F11" s="28"/>
      <c r="G11" s="28"/>
      <c r="J11" s="28"/>
      <c r="K11" s="28"/>
      <c r="L11" s="28"/>
    </row>
    <row r="12" spans="1:12" ht="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5.6">
      <c r="A13" s="45"/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5">
      <c r="A14" s="28" t="s">
        <v>46</v>
      </c>
      <c r="B14" s="28" t="s">
        <v>47</v>
      </c>
      <c r="C14" s="28"/>
      <c r="D14" s="45"/>
      <c r="E14" s="28"/>
      <c r="F14" s="45"/>
      <c r="G14" s="28"/>
      <c r="H14" s="28"/>
      <c r="I14" s="28"/>
      <c r="J14" s="28"/>
      <c r="K14" s="28"/>
      <c r="L14" s="28"/>
    </row>
    <row r="15" spans="1:12" ht="15">
      <c r="A15" s="28" t="s">
        <v>48</v>
      </c>
      <c r="B15" s="28" t="s">
        <v>47</v>
      </c>
      <c r="C15" s="28"/>
    </row>
    <row r="16" spans="1:12" ht="15.6" thickBot="1">
      <c r="A16" s="28" t="s">
        <v>49</v>
      </c>
      <c r="B16" s="28" t="str">
        <f>IF(B13&gt;=B35,"Yes","No")</f>
        <v>Yes</v>
      </c>
      <c r="C16" s="28"/>
    </row>
    <row r="17" spans="1:5" ht="15" thickBot="1">
      <c r="A17" s="52" t="s">
        <v>66</v>
      </c>
      <c r="B17" s="51" t="s">
        <v>23</v>
      </c>
      <c r="C17" s="53" t="s">
        <v>24</v>
      </c>
      <c r="D17" s="1" t="s">
        <v>25</v>
      </c>
    </row>
    <row r="18" spans="1:5" ht="14.45">
      <c r="A18" s="3" t="s">
        <v>27</v>
      </c>
      <c r="B18" s="26">
        <f>4.9*B3/100000</f>
        <v>3.6749999999999998</v>
      </c>
      <c r="C18" s="6">
        <v>1600</v>
      </c>
      <c r="D18" s="4">
        <f t="shared" ref="D18:D22" si="0">B18*C18</f>
        <v>5880</v>
      </c>
    </row>
    <row r="19" spans="1:5" ht="14.45">
      <c r="A19" s="3" t="s">
        <v>28</v>
      </c>
      <c r="B19" s="4">
        <f>44*B3/100000</f>
        <v>33</v>
      </c>
      <c r="C19" s="6">
        <v>180</v>
      </c>
      <c r="D19" s="4">
        <f t="shared" si="0"/>
        <v>5940</v>
      </c>
    </row>
    <row r="20" spans="1:5" ht="14.45">
      <c r="A20" s="3" t="s">
        <v>64</v>
      </c>
      <c r="B20" s="4">
        <f>5.7*B3/100000</f>
        <v>4.2750000000000004</v>
      </c>
      <c r="C20" s="6">
        <v>4750</v>
      </c>
      <c r="D20" s="4">
        <f t="shared" si="0"/>
        <v>20306.25</v>
      </c>
    </row>
    <row r="21" spans="1:5" ht="14.45">
      <c r="A21" s="3" t="s">
        <v>53</v>
      </c>
      <c r="B21" s="4">
        <f>45*B3/100000</f>
        <v>33.75</v>
      </c>
      <c r="C21" s="6">
        <v>450</v>
      </c>
      <c r="D21" s="4">
        <f t="shared" si="0"/>
        <v>15187.5</v>
      </c>
    </row>
    <row r="22" spans="1:5" ht="14.45">
      <c r="A22" s="3" t="s">
        <v>67</v>
      </c>
      <c r="B22" s="4">
        <f>1*B3/100000</f>
        <v>0.75</v>
      </c>
      <c r="C22" s="6">
        <v>520000</v>
      </c>
      <c r="D22" s="4">
        <f t="shared" si="0"/>
        <v>390000</v>
      </c>
    </row>
    <row r="23" spans="1:5" ht="14.45">
      <c r="A23" s="65"/>
      <c r="B23" s="8"/>
      <c r="C23" s="66"/>
      <c r="D23" s="8"/>
    </row>
    <row r="24" spans="1:5">
      <c r="A24" s="7" t="s">
        <v>34</v>
      </c>
      <c r="B24" s="7">
        <f>SUM(D18:D22)</f>
        <v>437313.75</v>
      </c>
      <c r="D24" s="54"/>
    </row>
    <row r="25" spans="1:5">
      <c r="A25" s="7" t="s">
        <v>35</v>
      </c>
      <c r="B25" s="55">
        <f>B24/365</f>
        <v>1198.1198630136987</v>
      </c>
      <c r="D25" s="54"/>
    </row>
    <row r="26" spans="1:5">
      <c r="A26" s="7" t="s">
        <v>36</v>
      </c>
      <c r="B26" s="7">
        <f>B24*0.1408</f>
        <v>61573.776000000005</v>
      </c>
    </row>
    <row r="28" spans="1:5">
      <c r="A28" s="11" t="s">
        <v>37</v>
      </c>
      <c r="B28" s="56" t="s">
        <v>38</v>
      </c>
      <c r="C28" s="56" t="s">
        <v>39</v>
      </c>
      <c r="D28" s="56" t="s">
        <v>40</v>
      </c>
      <c r="E28" s="56" t="s">
        <v>41</v>
      </c>
    </row>
    <row r="29" spans="1:5" ht="29.25" customHeight="1">
      <c r="A29" s="57" t="s">
        <v>42</v>
      </c>
      <c r="B29">
        <v>48.75</v>
      </c>
      <c r="C29">
        <v>17.55</v>
      </c>
      <c r="D29">
        <v>22.1</v>
      </c>
      <c r="E29">
        <v>360</v>
      </c>
    </row>
    <row r="30" spans="1:5">
      <c r="A30" s="56"/>
    </row>
    <row r="31" spans="1:5">
      <c r="A31" s="10" t="s">
        <v>43</v>
      </c>
      <c r="B31">
        <v>2470</v>
      </c>
      <c r="D31" s="56"/>
      <c r="E31" s="13"/>
    </row>
    <row r="32" spans="1:5" ht="25.5" customHeight="1">
      <c r="A32" s="14" t="s">
        <v>44</v>
      </c>
      <c r="B32">
        <v>6.6</v>
      </c>
    </row>
    <row r="34" spans="1:2">
      <c r="A34" s="56"/>
      <c r="B34" s="56"/>
    </row>
  </sheetData>
  <conditionalFormatting sqref="B16">
    <cfRule type="containsText" dxfId="9" priority="1" operator="containsText" text="Yes">
      <formula>NOT(ISERROR(SEARCH("Yes",B16)))</formula>
    </cfRule>
    <cfRule type="containsText" dxfId="8" priority="2" operator="containsText" text="No">
      <formula>NOT(ISERROR(SEARCH("No",B16)))</formula>
    </cfRule>
  </conditionalFormatting>
  <pageMargins left="0.7" right="0.7" top="0.75" bottom="0.75" header="0.3" footer="0.3"/>
  <pageSetup orientation="portrait" horizontalDpi="1200" verticalDpi="12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F8AD-9CC6-4369-9C7A-32E73C78B3E7}">
  <dimension ref="A1:L39"/>
  <sheetViews>
    <sheetView zoomScaleNormal="100" workbookViewId="0">
      <selection activeCell="E18" sqref="E18"/>
    </sheetView>
  </sheetViews>
  <sheetFormatPr defaultRowHeight="13.15"/>
  <cols>
    <col min="1" max="1" width="37.42578125" bestFit="1" customWidth="1"/>
    <col min="2" max="2" width="27" bestFit="1" customWidth="1"/>
    <col min="3" max="3" width="16.28515625" bestFit="1" customWidth="1"/>
    <col min="4" max="4" width="19" customWidth="1"/>
    <col min="5" max="5" width="20.5703125" customWidth="1"/>
    <col min="6" max="6" width="18.5703125" customWidth="1"/>
    <col min="7" max="7" width="14" bestFit="1" customWidth="1"/>
    <col min="8" max="8" width="20.42578125" bestFit="1" customWidth="1"/>
    <col min="9" max="9" width="16.85546875" customWidth="1"/>
    <col min="10" max="10" width="14" customWidth="1"/>
    <col min="12" max="12" width="10.85546875" customWidth="1"/>
  </cols>
  <sheetData>
    <row r="1" spans="1:12" ht="15.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28" t="s">
        <v>1</v>
      </c>
      <c r="B2" s="4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15">
      <c r="A3" s="28" t="s">
        <v>3</v>
      </c>
      <c r="B3" s="29">
        <v>75000</v>
      </c>
      <c r="C3" s="28"/>
      <c r="D3" s="30" t="s">
        <v>4</v>
      </c>
      <c r="E3" s="28"/>
      <c r="F3" s="28"/>
      <c r="G3" s="28"/>
      <c r="H3" s="31" t="s">
        <v>5</v>
      </c>
      <c r="I3" s="28"/>
      <c r="J3" s="28"/>
      <c r="K3" s="28"/>
      <c r="L3" s="28"/>
    </row>
    <row r="4" spans="1:12" ht="56.25" customHeight="1">
      <c r="A4" s="28"/>
      <c r="B4" s="32"/>
      <c r="C4" s="28" t="s">
        <v>6</v>
      </c>
      <c r="D4" s="33" t="s">
        <v>7</v>
      </c>
      <c r="E4" s="34" t="s">
        <v>8</v>
      </c>
      <c r="F4" s="34" t="s">
        <v>45</v>
      </c>
      <c r="G4" s="28"/>
      <c r="H4" s="35" t="s">
        <v>10</v>
      </c>
      <c r="I4" s="36" t="s">
        <v>11</v>
      </c>
      <c r="J4" s="45" t="s">
        <v>12</v>
      </c>
      <c r="K4" s="36" t="s">
        <v>13</v>
      </c>
      <c r="L4" s="45" t="s">
        <v>14</v>
      </c>
    </row>
    <row r="5" spans="1:12" ht="15">
      <c r="A5" s="37" t="s">
        <v>15</v>
      </c>
      <c r="B5" s="29">
        <v>2000</v>
      </c>
      <c r="C5" s="37"/>
      <c r="D5" s="59">
        <f>B5/B34</f>
        <v>41.025641025641029</v>
      </c>
      <c r="E5" s="69" t="s">
        <v>16</v>
      </c>
      <c r="F5" s="58">
        <f>B36*D5</f>
        <v>101333.33333333334</v>
      </c>
      <c r="G5" s="28"/>
      <c r="H5" s="38"/>
      <c r="I5" s="28"/>
      <c r="J5" s="28"/>
      <c r="K5" s="28"/>
      <c r="L5" s="60">
        <f>F5/K6</f>
        <v>1.7132712438338578</v>
      </c>
    </row>
    <row r="6" spans="1:12" ht="15.6">
      <c r="A6" s="39" t="s">
        <v>17</v>
      </c>
      <c r="B6" s="32"/>
      <c r="C6" s="28"/>
      <c r="D6" s="50" t="s">
        <v>17</v>
      </c>
      <c r="E6" s="39"/>
      <c r="F6" s="39"/>
      <c r="G6" s="28"/>
      <c r="H6" s="40">
        <v>963.86</v>
      </c>
      <c r="I6" s="39">
        <f>H6*365*1.2</f>
        <v>422170.68</v>
      </c>
      <c r="J6" s="39">
        <f>B29-I6</f>
        <v>-111940.68</v>
      </c>
      <c r="K6" s="39">
        <f>0.1401*I6</f>
        <v>59146.112267999997</v>
      </c>
      <c r="L6" s="63"/>
    </row>
    <row r="7" spans="1:12" ht="15">
      <c r="A7" s="41" t="s">
        <v>18</v>
      </c>
      <c r="B7" s="29">
        <v>200</v>
      </c>
      <c r="C7" s="41"/>
      <c r="D7" s="70">
        <f>B7</f>
        <v>200</v>
      </c>
      <c r="E7" s="42">
        <f>B7*B34</f>
        <v>9750</v>
      </c>
      <c r="F7" s="42">
        <f>B36*B7</f>
        <v>494000</v>
      </c>
      <c r="G7" s="28"/>
      <c r="H7" s="43"/>
      <c r="I7" s="28"/>
      <c r="J7" s="28"/>
      <c r="K7" s="28"/>
      <c r="L7" s="60">
        <f>F7/K6</f>
        <v>8.3521973136900556</v>
      </c>
    </row>
    <row r="8" spans="1:12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31.15">
      <c r="C9" s="28"/>
      <c r="D9" s="47" t="s">
        <v>19</v>
      </c>
      <c r="E9" s="28"/>
      <c r="F9" s="28"/>
      <c r="G9" s="28"/>
      <c r="J9" s="28"/>
      <c r="K9" s="28"/>
      <c r="L9" s="28"/>
    </row>
    <row r="10" spans="1:12" ht="49.5" customHeight="1">
      <c r="D10" s="46" t="s">
        <v>20</v>
      </c>
      <c r="E10" s="61">
        <f>B30</f>
        <v>849.94520547945206</v>
      </c>
      <c r="F10" s="28"/>
      <c r="G10" s="28"/>
      <c r="J10" s="28"/>
      <c r="K10" s="28"/>
      <c r="L10" s="28"/>
    </row>
    <row r="11" spans="1:12" ht="45">
      <c r="D11" s="49" t="s">
        <v>21</v>
      </c>
      <c r="E11" s="62">
        <f>SUM(D23,D21,D22,D24,D18)/B29*100</f>
        <v>89.111304516004253</v>
      </c>
      <c r="F11" s="28"/>
      <c r="G11" s="28"/>
      <c r="J11" s="28"/>
      <c r="K11" s="28"/>
      <c r="L11" s="28"/>
    </row>
    <row r="12" spans="1:12" ht="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5.6">
      <c r="A13" s="45"/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5">
      <c r="A14" s="28" t="s">
        <v>46</v>
      </c>
      <c r="B14" s="28" t="s">
        <v>47</v>
      </c>
      <c r="C14" s="28"/>
      <c r="D14" s="45"/>
      <c r="E14" s="28"/>
      <c r="F14" s="45"/>
      <c r="G14" s="28"/>
      <c r="H14" s="28"/>
      <c r="I14" s="28"/>
      <c r="J14" s="28"/>
      <c r="K14" s="28"/>
      <c r="L14" s="28"/>
    </row>
    <row r="15" spans="1:12" ht="15">
      <c r="A15" s="28" t="s">
        <v>48</v>
      </c>
      <c r="B15" s="28" t="s">
        <v>47</v>
      </c>
      <c r="C15" s="28"/>
    </row>
    <row r="16" spans="1:12" ht="15.6" thickBot="1">
      <c r="A16" s="28" t="s">
        <v>49</v>
      </c>
      <c r="B16" s="28" t="str">
        <f>IF(B13&gt;=B40,"Yes","No")</f>
        <v>Yes</v>
      </c>
      <c r="C16" s="28"/>
    </row>
    <row r="17" spans="1:4" ht="15" thickBot="1">
      <c r="A17" s="52" t="s">
        <v>68</v>
      </c>
      <c r="B17" s="51" t="s">
        <v>23</v>
      </c>
      <c r="C17" s="53" t="s">
        <v>24</v>
      </c>
      <c r="D17" s="1" t="s">
        <v>25</v>
      </c>
    </row>
    <row r="18" spans="1:4" ht="14.45">
      <c r="A18" s="3" t="s">
        <v>26</v>
      </c>
      <c r="B18" s="26">
        <f>10*B3/100000</f>
        <v>7.5</v>
      </c>
      <c r="C18" s="6">
        <v>2600</v>
      </c>
      <c r="D18" s="4">
        <f t="shared" ref="D18:D25" si="0">B18*C18</f>
        <v>19500</v>
      </c>
    </row>
    <row r="19" spans="1:4" ht="14.45">
      <c r="A19" s="3" t="s">
        <v>27</v>
      </c>
      <c r="B19" s="4">
        <f>7*B3/100000</f>
        <v>5.25</v>
      </c>
      <c r="C19" s="6">
        <v>1600</v>
      </c>
      <c r="D19" s="4">
        <f t="shared" si="0"/>
        <v>8400</v>
      </c>
    </row>
    <row r="20" spans="1:4" ht="14.45">
      <c r="A20" s="3" t="s">
        <v>51</v>
      </c>
      <c r="B20" s="4">
        <f>1.4*B3/100000</f>
        <v>1.05</v>
      </c>
      <c r="C20" s="6">
        <v>4300</v>
      </c>
      <c r="D20" s="4">
        <f t="shared" si="0"/>
        <v>4515</v>
      </c>
    </row>
    <row r="21" spans="1:4" ht="14.45">
      <c r="A21" s="3" t="s">
        <v>28</v>
      </c>
      <c r="B21" s="4">
        <f>390*B3/100000</f>
        <v>292.5</v>
      </c>
      <c r="C21" s="6">
        <v>180</v>
      </c>
      <c r="D21" s="4">
        <f t="shared" si="0"/>
        <v>52650</v>
      </c>
    </row>
    <row r="22" spans="1:4" ht="14.45">
      <c r="A22" s="3" t="s">
        <v>29</v>
      </c>
      <c r="B22" s="4">
        <f>140*B3/100000</f>
        <v>105</v>
      </c>
      <c r="C22" s="6">
        <v>350</v>
      </c>
      <c r="D22" s="4">
        <f t="shared" si="0"/>
        <v>36750</v>
      </c>
    </row>
    <row r="23" spans="1:4" ht="14.45">
      <c r="A23" s="3" t="s">
        <v>53</v>
      </c>
      <c r="B23" s="4">
        <f>450*B3/100000</f>
        <v>337.5</v>
      </c>
      <c r="C23" s="6">
        <v>450</v>
      </c>
      <c r="D23" s="4">
        <f t="shared" si="0"/>
        <v>151875</v>
      </c>
    </row>
    <row r="24" spans="1:4" ht="14.45">
      <c r="A24" s="3" t="s">
        <v>54</v>
      </c>
      <c r="B24" s="4">
        <f>1.1*B3/100000</f>
        <v>0.82499999999999996</v>
      </c>
      <c r="C24" s="6">
        <v>19000</v>
      </c>
      <c r="D24" s="4">
        <f t="shared" si="0"/>
        <v>15675</v>
      </c>
    </row>
    <row r="25" spans="1:4" ht="14.45">
      <c r="A25" s="19" t="s">
        <v>32</v>
      </c>
      <c r="B25" s="20">
        <f>1.6*B3/100000</f>
        <v>1.2</v>
      </c>
      <c r="C25" s="21">
        <v>3900</v>
      </c>
      <c r="D25" s="20">
        <f t="shared" si="0"/>
        <v>4680</v>
      </c>
    </row>
    <row r="26" spans="1:4" ht="14.45">
      <c r="A26" s="22" t="s">
        <v>65</v>
      </c>
      <c r="B26" s="23">
        <f>11*B3/100000</f>
        <v>8.25</v>
      </c>
      <c r="C26" s="24">
        <v>1700</v>
      </c>
      <c r="D26" s="23">
        <f>B26*C26</f>
        <v>14025</v>
      </c>
    </row>
    <row r="27" spans="1:4" ht="14.45">
      <c r="A27" s="22" t="s">
        <v>60</v>
      </c>
      <c r="B27" s="23">
        <f>0.8*B3/100000</f>
        <v>0.6</v>
      </c>
      <c r="C27" s="24">
        <v>3600</v>
      </c>
      <c r="D27" s="23">
        <f>B27*C27</f>
        <v>2160</v>
      </c>
    </row>
    <row r="28" spans="1:4" ht="14.45">
      <c r="A28" s="65"/>
      <c r="B28" s="8"/>
      <c r="C28" s="66"/>
      <c r="D28" s="8"/>
    </row>
    <row r="29" spans="1:4">
      <c r="A29" s="7" t="s">
        <v>34</v>
      </c>
      <c r="B29" s="7">
        <f>SUM(D18:D27)</f>
        <v>310230</v>
      </c>
      <c r="D29" s="54"/>
    </row>
    <row r="30" spans="1:4">
      <c r="A30" s="7" t="s">
        <v>35</v>
      </c>
      <c r="B30" s="55">
        <f>B29/365</f>
        <v>849.94520547945206</v>
      </c>
      <c r="D30" s="54"/>
    </row>
    <row r="31" spans="1:4">
      <c r="A31" s="7" t="s">
        <v>36</v>
      </c>
      <c r="B31" s="7">
        <f>B29*0.1408</f>
        <v>43680.384000000005</v>
      </c>
    </row>
    <row r="33" spans="1:5">
      <c r="A33" s="11" t="s">
        <v>37</v>
      </c>
      <c r="B33" s="56" t="s">
        <v>38</v>
      </c>
      <c r="C33" s="56" t="s">
        <v>39</v>
      </c>
      <c r="D33" s="56" t="s">
        <v>40</v>
      </c>
      <c r="E33" s="56" t="s">
        <v>41</v>
      </c>
    </row>
    <row r="34" spans="1:5" ht="29.25" customHeight="1">
      <c r="A34" s="57" t="s">
        <v>42</v>
      </c>
      <c r="B34">
        <v>48.75</v>
      </c>
      <c r="C34">
        <v>17.55</v>
      </c>
      <c r="D34">
        <v>22.1</v>
      </c>
      <c r="E34">
        <v>360</v>
      </c>
    </row>
    <row r="35" spans="1:5">
      <c r="A35" s="56"/>
    </row>
    <row r="36" spans="1:5">
      <c r="A36" s="10" t="s">
        <v>43</v>
      </c>
      <c r="B36">
        <v>2470</v>
      </c>
      <c r="D36" s="56"/>
      <c r="E36" s="13"/>
    </row>
    <row r="37" spans="1:5" ht="25.5" customHeight="1">
      <c r="A37" s="14" t="s">
        <v>44</v>
      </c>
      <c r="B37">
        <v>6.6</v>
      </c>
    </row>
    <row r="39" spans="1:5">
      <c r="A39" s="56"/>
      <c r="B39" s="56"/>
    </row>
  </sheetData>
  <conditionalFormatting sqref="B16">
    <cfRule type="containsText" dxfId="7" priority="1" operator="containsText" text="Yes">
      <formula>NOT(ISERROR(SEARCH("Yes",B16)))</formula>
    </cfRule>
    <cfRule type="containsText" dxfId="6" priority="2" operator="containsText" text="No">
      <formula>NOT(ISERROR(SEARCH("No",B16)))</formula>
    </cfRule>
  </conditionalFormatting>
  <pageMargins left="0.7" right="0.7" top="0.75" bottom="0.75" header="0.3" footer="0.3"/>
  <pageSetup orientation="portrait" horizontalDpi="1200" verticalDpi="12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CEFF-AB26-473B-8F22-92188D526265}">
  <dimension ref="A1:L37"/>
  <sheetViews>
    <sheetView topLeftCell="B1" zoomScaleNormal="100" workbookViewId="0">
      <selection activeCell="E12" sqref="E12"/>
    </sheetView>
  </sheetViews>
  <sheetFormatPr defaultRowHeight="13.15"/>
  <cols>
    <col min="1" max="1" width="37.42578125" bestFit="1" customWidth="1"/>
    <col min="2" max="2" width="27" bestFit="1" customWidth="1"/>
    <col min="3" max="3" width="16.28515625" bestFit="1" customWidth="1"/>
    <col min="4" max="4" width="19" customWidth="1"/>
    <col min="5" max="5" width="20.5703125" customWidth="1"/>
    <col min="6" max="6" width="18.5703125" customWidth="1"/>
    <col min="7" max="7" width="14" bestFit="1" customWidth="1"/>
    <col min="8" max="8" width="20.42578125" bestFit="1" customWidth="1"/>
    <col min="9" max="9" width="16.85546875" customWidth="1"/>
    <col min="10" max="10" width="14" customWidth="1"/>
    <col min="12" max="12" width="10.85546875" customWidth="1"/>
  </cols>
  <sheetData>
    <row r="1" spans="1:12" ht="15.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28" t="s">
        <v>1</v>
      </c>
      <c r="B2" s="4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15">
      <c r="A3" s="28" t="s">
        <v>3</v>
      </c>
      <c r="B3" s="29">
        <v>75000</v>
      </c>
      <c r="C3" s="28"/>
      <c r="D3" s="30" t="s">
        <v>4</v>
      </c>
      <c r="E3" s="28"/>
      <c r="F3" s="28"/>
      <c r="G3" s="28"/>
      <c r="H3" s="31" t="s">
        <v>5</v>
      </c>
      <c r="I3" s="28"/>
      <c r="J3" s="28"/>
      <c r="K3" s="28"/>
      <c r="L3" s="28"/>
    </row>
    <row r="4" spans="1:12" ht="56.25" customHeight="1">
      <c r="A4" s="28"/>
      <c r="B4" s="32"/>
      <c r="C4" s="28" t="s">
        <v>6</v>
      </c>
      <c r="D4" s="33" t="s">
        <v>7</v>
      </c>
      <c r="E4" s="34" t="s">
        <v>8</v>
      </c>
      <c r="F4" s="34" t="s">
        <v>45</v>
      </c>
      <c r="G4" s="28"/>
      <c r="H4" s="35" t="s">
        <v>10</v>
      </c>
      <c r="I4" s="36" t="s">
        <v>11</v>
      </c>
      <c r="J4" s="45" t="s">
        <v>12</v>
      </c>
      <c r="K4" s="36" t="s">
        <v>13</v>
      </c>
      <c r="L4" s="45" t="s">
        <v>14</v>
      </c>
    </row>
    <row r="5" spans="1:12" ht="15">
      <c r="A5" s="37" t="s">
        <v>15</v>
      </c>
      <c r="B5" s="29">
        <v>2000</v>
      </c>
      <c r="C5" s="37"/>
      <c r="D5" s="59">
        <f>B5/B32</f>
        <v>41.025641025641029</v>
      </c>
      <c r="E5" s="69" t="s">
        <v>16</v>
      </c>
      <c r="F5" s="58">
        <f>B34*D5</f>
        <v>101333.33333333334</v>
      </c>
      <c r="G5" s="28"/>
      <c r="H5" s="38"/>
      <c r="I5" s="28"/>
      <c r="J5" s="28"/>
      <c r="K5" s="28"/>
      <c r="L5" s="60">
        <f>F5/K6</f>
        <v>1.7132712438338578</v>
      </c>
    </row>
    <row r="6" spans="1:12" ht="15.6">
      <c r="A6" s="39" t="s">
        <v>17</v>
      </c>
      <c r="B6" s="32"/>
      <c r="C6" s="28"/>
      <c r="D6" s="50" t="s">
        <v>17</v>
      </c>
      <c r="E6" s="39"/>
      <c r="F6" s="39"/>
      <c r="G6" s="28"/>
      <c r="H6" s="40">
        <v>963.86</v>
      </c>
      <c r="I6" s="39">
        <f>H6*365*1.2</f>
        <v>422170.68</v>
      </c>
      <c r="J6" s="39">
        <f>B27-I6</f>
        <v>732049.32000000007</v>
      </c>
      <c r="K6" s="39">
        <f>0.1401*I6</f>
        <v>59146.112267999997</v>
      </c>
      <c r="L6" s="63"/>
    </row>
    <row r="7" spans="1:12" ht="15">
      <c r="A7" s="41" t="s">
        <v>18</v>
      </c>
      <c r="B7" s="29">
        <v>200</v>
      </c>
      <c r="C7" s="41"/>
      <c r="D7" s="70">
        <f>B7</f>
        <v>200</v>
      </c>
      <c r="E7" s="42">
        <f>B7*B32</f>
        <v>9750</v>
      </c>
      <c r="F7" s="42">
        <f>B34*B7</f>
        <v>494000</v>
      </c>
      <c r="G7" s="28"/>
      <c r="H7" s="43"/>
      <c r="I7" s="28"/>
      <c r="J7" s="28"/>
      <c r="K7" s="28"/>
      <c r="L7" s="60">
        <f>F7/K6</f>
        <v>8.3521973136900556</v>
      </c>
    </row>
    <row r="8" spans="1:12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31.15">
      <c r="C9" s="28"/>
      <c r="D9" s="47" t="s">
        <v>19</v>
      </c>
      <c r="E9" s="28"/>
      <c r="F9" s="28"/>
      <c r="G9" s="28"/>
      <c r="J9" s="28"/>
      <c r="K9" s="28"/>
      <c r="L9" s="28"/>
    </row>
    <row r="10" spans="1:12" ht="49.5" customHeight="1">
      <c r="D10" s="46" t="s">
        <v>20</v>
      </c>
      <c r="E10" s="61">
        <f>B28</f>
        <v>3162.2465753424658</v>
      </c>
      <c r="F10" s="28"/>
      <c r="G10" s="28"/>
      <c r="J10" s="28"/>
      <c r="K10" s="28"/>
      <c r="L10" s="28"/>
    </row>
    <row r="11" spans="1:12" ht="45">
      <c r="D11" s="49" t="s">
        <v>21</v>
      </c>
      <c r="E11" s="62">
        <f>SUM(D18,D19,D22,D23)/B27*100</f>
        <v>87.500649789468213</v>
      </c>
      <c r="F11" s="28"/>
      <c r="G11" s="28"/>
      <c r="J11" s="28"/>
      <c r="K11" s="28"/>
      <c r="L11" s="28"/>
    </row>
    <row r="12" spans="1:12" ht="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5.6">
      <c r="A13" s="45"/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5">
      <c r="A14" s="28" t="s">
        <v>46</v>
      </c>
      <c r="B14" s="28" t="s">
        <v>47</v>
      </c>
      <c r="C14" s="28"/>
      <c r="D14" s="45"/>
      <c r="E14" s="28"/>
      <c r="F14" s="45"/>
      <c r="G14" s="28"/>
      <c r="H14" s="28"/>
      <c r="I14" s="28"/>
      <c r="J14" s="28"/>
      <c r="K14" s="28"/>
      <c r="L14" s="28"/>
    </row>
    <row r="15" spans="1:12" ht="15">
      <c r="A15" s="28" t="s">
        <v>48</v>
      </c>
      <c r="B15" s="28" t="s">
        <v>47</v>
      </c>
      <c r="C15" s="28"/>
    </row>
    <row r="16" spans="1:12" ht="15.6" thickBot="1">
      <c r="A16" s="28" t="s">
        <v>49</v>
      </c>
      <c r="B16" s="28" t="str">
        <f>IF(B13&gt;=B38,"Yes","No")</f>
        <v>Yes</v>
      </c>
      <c r="C16" s="28"/>
    </row>
    <row r="17" spans="1:5" ht="15" thickBot="1">
      <c r="A17" s="52" t="s">
        <v>69</v>
      </c>
      <c r="B17" s="51" t="s">
        <v>23</v>
      </c>
      <c r="C17" s="53" t="s">
        <v>24</v>
      </c>
      <c r="D17" s="1" t="s">
        <v>25</v>
      </c>
    </row>
    <row r="18" spans="1:5" ht="14.45">
      <c r="A18" s="3" t="s">
        <v>26</v>
      </c>
      <c r="B18" s="26">
        <f>47*B3/100000</f>
        <v>35.25</v>
      </c>
      <c r="C18" s="6">
        <v>12000</v>
      </c>
      <c r="D18" s="4">
        <f t="shared" ref="D18:D24" si="0">B18*C18</f>
        <v>423000</v>
      </c>
    </row>
    <row r="19" spans="1:5" ht="14.45">
      <c r="A19" s="3" t="s">
        <v>51</v>
      </c>
      <c r="B19" s="4">
        <f>21*B3/100000</f>
        <v>15.75</v>
      </c>
      <c r="C19" s="6">
        <v>8100</v>
      </c>
      <c r="D19" s="4">
        <f t="shared" si="0"/>
        <v>127575</v>
      </c>
    </row>
    <row r="20" spans="1:5" ht="14.45">
      <c r="A20" s="3" t="s">
        <v>28</v>
      </c>
      <c r="B20" s="4">
        <f>180*B3/100000</f>
        <v>135</v>
      </c>
      <c r="C20" s="6">
        <v>180</v>
      </c>
      <c r="D20" s="4">
        <f t="shared" si="0"/>
        <v>24300</v>
      </c>
    </row>
    <row r="21" spans="1:5" ht="14.45">
      <c r="A21" s="3" t="s">
        <v>53</v>
      </c>
      <c r="B21" s="4">
        <f>180*B3/100000</f>
        <v>135</v>
      </c>
      <c r="C21" s="6">
        <v>450</v>
      </c>
      <c r="D21" s="4">
        <f t="shared" si="0"/>
        <v>60750</v>
      </c>
    </row>
    <row r="22" spans="1:5" ht="14.45">
      <c r="A22" s="3" t="s">
        <v>54</v>
      </c>
      <c r="B22" s="4">
        <f>23*B3/100000</f>
        <v>17.25</v>
      </c>
      <c r="C22" s="6">
        <v>19000</v>
      </c>
      <c r="D22" s="4">
        <f t="shared" si="0"/>
        <v>327750</v>
      </c>
    </row>
    <row r="23" spans="1:5" ht="14.45">
      <c r="A23" s="19" t="s">
        <v>32</v>
      </c>
      <c r="B23" s="4">
        <f>45*B3/100000</f>
        <v>33.75</v>
      </c>
      <c r="C23" s="21">
        <v>3900</v>
      </c>
      <c r="D23" s="4">
        <f t="shared" si="0"/>
        <v>131625</v>
      </c>
    </row>
    <row r="24" spans="1:5" ht="14.45">
      <c r="A24" s="22" t="s">
        <v>59</v>
      </c>
      <c r="B24" s="4">
        <f>84*B3/100000</f>
        <v>63</v>
      </c>
      <c r="C24" s="24">
        <v>940</v>
      </c>
      <c r="D24" s="4">
        <f t="shared" si="0"/>
        <v>59220</v>
      </c>
    </row>
    <row r="25" spans="1:5" ht="14.45">
      <c r="A25" s="65"/>
      <c r="B25" s="8"/>
      <c r="C25" s="66"/>
      <c r="D25" s="8"/>
    </row>
    <row r="26" spans="1:5" ht="14.45">
      <c r="A26" s="65"/>
      <c r="B26" s="8"/>
      <c r="C26" s="66"/>
      <c r="D26" s="8"/>
    </row>
    <row r="27" spans="1:5">
      <c r="A27" s="7" t="s">
        <v>34</v>
      </c>
      <c r="B27" s="7">
        <f>SUM(D18:D24)</f>
        <v>1154220</v>
      </c>
      <c r="D27" s="54"/>
    </row>
    <row r="28" spans="1:5">
      <c r="A28" s="7" t="s">
        <v>35</v>
      </c>
      <c r="B28" s="55">
        <f>B27/365</f>
        <v>3162.2465753424658</v>
      </c>
      <c r="D28" s="54"/>
    </row>
    <row r="29" spans="1:5">
      <c r="A29" s="7" t="s">
        <v>36</v>
      </c>
      <c r="B29" s="7">
        <f>B27*0.1408</f>
        <v>162514.17600000001</v>
      </c>
    </row>
    <row r="31" spans="1:5">
      <c r="A31" s="11" t="s">
        <v>37</v>
      </c>
      <c r="B31" s="56" t="s">
        <v>38</v>
      </c>
      <c r="C31" s="56" t="s">
        <v>39</v>
      </c>
      <c r="D31" s="56" t="s">
        <v>40</v>
      </c>
      <c r="E31" s="56" t="s">
        <v>41</v>
      </c>
    </row>
    <row r="32" spans="1:5" ht="29.25" customHeight="1">
      <c r="A32" s="57" t="s">
        <v>42</v>
      </c>
      <c r="B32">
        <v>48.75</v>
      </c>
      <c r="C32">
        <v>17.55</v>
      </c>
      <c r="D32">
        <v>22.1</v>
      </c>
      <c r="E32">
        <v>360</v>
      </c>
    </row>
    <row r="33" spans="1:5">
      <c r="A33" s="56"/>
    </row>
    <row r="34" spans="1:5">
      <c r="A34" s="10" t="s">
        <v>43</v>
      </c>
      <c r="B34">
        <v>2470</v>
      </c>
      <c r="D34" s="56"/>
      <c r="E34" s="13"/>
    </row>
    <row r="35" spans="1:5" ht="25.5" customHeight="1">
      <c r="A35" s="14" t="s">
        <v>44</v>
      </c>
      <c r="B35">
        <v>6.6</v>
      </c>
    </row>
    <row r="37" spans="1:5">
      <c r="A37" s="56"/>
      <c r="B37" s="56"/>
    </row>
  </sheetData>
  <conditionalFormatting sqref="B16">
    <cfRule type="containsText" dxfId="5" priority="1" operator="containsText" text="Yes">
      <formula>NOT(ISERROR(SEARCH("Yes",B16)))</formula>
    </cfRule>
    <cfRule type="containsText" dxfId="4" priority="2" operator="containsText" text="No">
      <formula>NOT(ISERROR(SEARCH("No",B16)))</formula>
    </cfRule>
  </conditionalFormatting>
  <pageMargins left="0.7" right="0.7" top="0.75" bottom="0.75" header="0.3" footer="0.3"/>
  <pageSetup orientation="portrait" horizontalDpi="1200" verticalDpi="12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79A0-1E00-4D7A-94FC-26F372E4A166}">
  <dimension ref="A1:L39"/>
  <sheetViews>
    <sheetView topLeftCell="A10" zoomScaleNormal="100" workbookViewId="0">
      <selection activeCell="E12" sqref="E12"/>
    </sheetView>
  </sheetViews>
  <sheetFormatPr defaultRowHeight="13.15"/>
  <cols>
    <col min="1" max="1" width="37.42578125" bestFit="1" customWidth="1"/>
    <col min="2" max="2" width="27" bestFit="1" customWidth="1"/>
    <col min="3" max="3" width="16.28515625" bestFit="1" customWidth="1"/>
    <col min="4" max="4" width="19" customWidth="1"/>
    <col min="5" max="5" width="20.5703125" customWidth="1"/>
    <col min="6" max="6" width="18.5703125" customWidth="1"/>
    <col min="7" max="7" width="14" bestFit="1" customWidth="1"/>
    <col min="8" max="8" width="20.42578125" bestFit="1" customWidth="1"/>
    <col min="9" max="9" width="16.85546875" customWidth="1"/>
    <col min="10" max="10" width="14" customWidth="1"/>
    <col min="12" max="12" width="10.85546875" customWidth="1"/>
  </cols>
  <sheetData>
    <row r="1" spans="1:12" ht="15.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28" t="s">
        <v>1</v>
      </c>
      <c r="B2" s="4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15">
      <c r="A3" s="28" t="s">
        <v>3</v>
      </c>
      <c r="B3" s="29">
        <v>75000</v>
      </c>
      <c r="C3" s="28"/>
      <c r="D3" s="30" t="s">
        <v>4</v>
      </c>
      <c r="E3" s="28"/>
      <c r="F3" s="28"/>
      <c r="G3" s="28"/>
      <c r="H3" s="31" t="s">
        <v>5</v>
      </c>
      <c r="I3" s="28"/>
      <c r="J3" s="28"/>
      <c r="K3" s="28"/>
      <c r="L3" s="28"/>
    </row>
    <row r="4" spans="1:12" ht="56.25" customHeight="1">
      <c r="A4" s="28"/>
      <c r="B4" s="32"/>
      <c r="C4" s="28" t="s">
        <v>6</v>
      </c>
      <c r="D4" s="33" t="s">
        <v>7</v>
      </c>
      <c r="E4" s="34" t="s">
        <v>8</v>
      </c>
      <c r="F4" s="34" t="s">
        <v>45</v>
      </c>
      <c r="G4" s="28"/>
      <c r="H4" s="35" t="s">
        <v>10</v>
      </c>
      <c r="I4" s="36" t="s">
        <v>11</v>
      </c>
      <c r="J4" s="45" t="s">
        <v>12</v>
      </c>
      <c r="K4" s="36" t="s">
        <v>13</v>
      </c>
      <c r="L4" s="45" t="s">
        <v>14</v>
      </c>
    </row>
    <row r="5" spans="1:12" ht="15">
      <c r="A5" s="37" t="s">
        <v>15</v>
      </c>
      <c r="B5" s="29">
        <v>2000</v>
      </c>
      <c r="C5" s="37"/>
      <c r="D5" s="59">
        <f>B5/B34</f>
        <v>41.025641025641029</v>
      </c>
      <c r="E5" s="69" t="s">
        <v>16</v>
      </c>
      <c r="F5" s="58">
        <f>B36*D5</f>
        <v>101333.33333333334</v>
      </c>
      <c r="G5" s="28"/>
      <c r="H5" s="38"/>
      <c r="I5" s="28"/>
      <c r="J5" s="28"/>
      <c r="K5" s="28"/>
      <c r="L5" s="60">
        <f>F5/K6</f>
        <v>1.7132712438338578</v>
      </c>
    </row>
    <row r="6" spans="1:12" ht="15.6">
      <c r="A6" s="39" t="s">
        <v>17</v>
      </c>
      <c r="B6" s="32"/>
      <c r="C6" s="28"/>
      <c r="D6" s="50" t="s">
        <v>17</v>
      </c>
      <c r="E6" s="39"/>
      <c r="F6" s="39"/>
      <c r="G6" s="28"/>
      <c r="H6" s="40">
        <v>963.86</v>
      </c>
      <c r="I6" s="39">
        <f>H6*365*1.2</f>
        <v>422170.68</v>
      </c>
      <c r="J6" s="39">
        <f>B29-I6</f>
        <v>1010749.3200000001</v>
      </c>
      <c r="K6" s="39">
        <f>0.1401*I6</f>
        <v>59146.112267999997</v>
      </c>
      <c r="L6" s="63"/>
    </row>
    <row r="7" spans="1:12" ht="15">
      <c r="A7" s="41" t="s">
        <v>18</v>
      </c>
      <c r="B7" s="29">
        <v>200</v>
      </c>
      <c r="C7" s="41"/>
      <c r="D7" s="70">
        <f>B7</f>
        <v>200</v>
      </c>
      <c r="E7" s="42">
        <f>B7*B34</f>
        <v>9750</v>
      </c>
      <c r="F7" s="42">
        <f>B36*B7</f>
        <v>494000</v>
      </c>
      <c r="G7" s="28"/>
      <c r="H7" s="43"/>
      <c r="I7" s="28"/>
      <c r="J7" s="28"/>
      <c r="K7" s="28"/>
      <c r="L7" s="60">
        <f>F7/K6</f>
        <v>8.3521973136900556</v>
      </c>
    </row>
    <row r="8" spans="1:12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31.15">
      <c r="C9" s="28"/>
      <c r="D9" s="47" t="s">
        <v>19</v>
      </c>
      <c r="E9" s="28"/>
      <c r="F9" s="28"/>
      <c r="G9" s="28"/>
      <c r="J9" s="28"/>
      <c r="K9" s="28"/>
      <c r="L9" s="28"/>
    </row>
    <row r="10" spans="1:12" ht="49.5" customHeight="1">
      <c r="D10" s="46" t="s">
        <v>20</v>
      </c>
      <c r="E10" s="61">
        <f>B30</f>
        <v>3925.8082191780823</v>
      </c>
      <c r="F10" s="28"/>
      <c r="G10" s="28"/>
      <c r="J10" s="28"/>
      <c r="K10" s="28"/>
      <c r="L10" s="28"/>
    </row>
    <row r="11" spans="1:12" ht="45">
      <c r="D11" s="49" t="s">
        <v>21</v>
      </c>
      <c r="E11" s="62">
        <f>SUM(D19,D23,D24,D25,D26)/B29*100</f>
        <v>93.234444351394359</v>
      </c>
      <c r="F11" s="28"/>
      <c r="G11" s="28"/>
      <c r="J11" s="28"/>
      <c r="K11" s="28"/>
      <c r="L11" s="28"/>
    </row>
    <row r="12" spans="1:12" ht="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5.6">
      <c r="A13" s="45"/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5">
      <c r="A14" s="28" t="s">
        <v>46</v>
      </c>
      <c r="B14" s="28" t="s">
        <v>47</v>
      </c>
      <c r="C14" s="28"/>
      <c r="D14" s="45"/>
      <c r="E14" s="28"/>
      <c r="F14" s="45"/>
      <c r="G14" s="28"/>
      <c r="H14" s="28"/>
      <c r="I14" s="28"/>
      <c r="J14" s="28"/>
      <c r="K14" s="28"/>
      <c r="L14" s="28"/>
    </row>
    <row r="15" spans="1:12" ht="15">
      <c r="A15" s="28" t="s">
        <v>48</v>
      </c>
      <c r="B15" s="28" t="s">
        <v>47</v>
      </c>
      <c r="C15" s="28"/>
    </row>
    <row r="16" spans="1:12" ht="15.6" thickBot="1">
      <c r="A16" s="28" t="s">
        <v>49</v>
      </c>
      <c r="B16" s="28" t="str">
        <f>IF(B13&gt;=B40,"Yes","No")</f>
        <v>Yes</v>
      </c>
      <c r="C16" s="28"/>
    </row>
    <row r="17" spans="1:4" ht="15" thickBot="1">
      <c r="A17" s="52" t="s">
        <v>70</v>
      </c>
      <c r="B17" s="51" t="s">
        <v>23</v>
      </c>
      <c r="C17" s="53" t="s">
        <v>24</v>
      </c>
      <c r="D17" s="1" t="s">
        <v>25</v>
      </c>
    </row>
    <row r="18" spans="1:4" ht="14.45">
      <c r="A18" s="3" t="s">
        <v>71</v>
      </c>
      <c r="B18" s="26">
        <f>12*B3/100000</f>
        <v>9</v>
      </c>
      <c r="C18" s="5">
        <v>3000</v>
      </c>
      <c r="D18" s="4">
        <f t="shared" ref="D18:D25" si="0">B18*C18</f>
        <v>27000</v>
      </c>
    </row>
    <row r="19" spans="1:4" ht="14.45">
      <c r="A19" s="3" t="s">
        <v>26</v>
      </c>
      <c r="B19" s="4">
        <f>18*B3/100000</f>
        <v>13.5</v>
      </c>
      <c r="C19" s="6">
        <v>17000</v>
      </c>
      <c r="D19" s="4">
        <f t="shared" si="0"/>
        <v>229500</v>
      </c>
    </row>
    <row r="20" spans="1:4" ht="14.45">
      <c r="A20" s="3" t="s">
        <v>27</v>
      </c>
      <c r="B20" s="4">
        <f>8*B3/100000</f>
        <v>6</v>
      </c>
      <c r="C20" s="6">
        <v>1600</v>
      </c>
      <c r="D20" s="4">
        <f t="shared" si="0"/>
        <v>9600</v>
      </c>
    </row>
    <row r="21" spans="1:4" ht="14.45">
      <c r="A21" s="3" t="s">
        <v>51</v>
      </c>
      <c r="B21" s="4">
        <f>4.6*B3/100000</f>
        <v>3.45</v>
      </c>
      <c r="C21" s="6">
        <v>8100</v>
      </c>
      <c r="D21" s="4">
        <f t="shared" si="0"/>
        <v>27945</v>
      </c>
    </row>
    <row r="22" spans="1:4" ht="14.45">
      <c r="A22" s="3" t="s">
        <v>28</v>
      </c>
      <c r="B22" s="4">
        <f>240*B3/100000</f>
        <v>180</v>
      </c>
      <c r="C22" s="6">
        <v>180</v>
      </c>
      <c r="D22" s="4">
        <f t="shared" si="0"/>
        <v>32400</v>
      </c>
    </row>
    <row r="23" spans="1:4" ht="14.45">
      <c r="A23" s="3" t="s">
        <v>53</v>
      </c>
      <c r="B23" s="4">
        <f>240*B3/100000</f>
        <v>180</v>
      </c>
      <c r="C23" s="6">
        <v>450</v>
      </c>
      <c r="D23" s="4">
        <f t="shared" si="0"/>
        <v>81000</v>
      </c>
    </row>
    <row r="24" spans="1:4" ht="14.45">
      <c r="A24" s="3" t="s">
        <v>72</v>
      </c>
      <c r="B24" s="4">
        <f>1*B3/100000</f>
        <v>0.75</v>
      </c>
      <c r="C24" s="6">
        <v>670000</v>
      </c>
      <c r="D24" s="4">
        <f t="shared" si="0"/>
        <v>502500</v>
      </c>
    </row>
    <row r="25" spans="1:4" ht="14.45">
      <c r="A25" s="3" t="s">
        <v>54</v>
      </c>
      <c r="B25" s="20">
        <f>25*B3/100000</f>
        <v>18.75</v>
      </c>
      <c r="C25" s="6">
        <v>19000</v>
      </c>
      <c r="D25" s="20">
        <f t="shared" si="0"/>
        <v>356250</v>
      </c>
    </row>
    <row r="26" spans="1:4" ht="14.45">
      <c r="A26" s="3" t="s">
        <v>32</v>
      </c>
      <c r="B26" s="23">
        <f>57*B3/100000</f>
        <v>42.75</v>
      </c>
      <c r="C26" s="6">
        <v>3900</v>
      </c>
      <c r="D26" s="23">
        <f>B26*C26</f>
        <v>166725</v>
      </c>
    </row>
    <row r="27" spans="1:4" ht="14.45">
      <c r="A27" s="65"/>
      <c r="B27" s="8"/>
      <c r="C27" s="66"/>
      <c r="D27" s="8"/>
    </row>
    <row r="28" spans="1:4" ht="14.45">
      <c r="A28" s="65"/>
      <c r="B28" s="8"/>
      <c r="C28" s="66"/>
      <c r="D28" s="8"/>
    </row>
    <row r="29" spans="1:4">
      <c r="A29" s="7" t="s">
        <v>34</v>
      </c>
      <c r="B29" s="7">
        <f>SUM(D18:D26)</f>
        <v>1432920</v>
      </c>
      <c r="D29" s="54"/>
    </row>
    <row r="30" spans="1:4">
      <c r="A30" s="7" t="s">
        <v>35</v>
      </c>
      <c r="B30" s="55">
        <f>B29/365</f>
        <v>3925.8082191780823</v>
      </c>
      <c r="D30" s="54"/>
    </row>
    <row r="31" spans="1:4">
      <c r="A31" s="7" t="s">
        <v>36</v>
      </c>
      <c r="B31" s="7">
        <f>B29*0.1408</f>
        <v>201755.136</v>
      </c>
    </row>
    <row r="33" spans="1:5">
      <c r="A33" s="11" t="s">
        <v>37</v>
      </c>
      <c r="B33" s="56" t="s">
        <v>38</v>
      </c>
      <c r="C33" s="56" t="s">
        <v>39</v>
      </c>
      <c r="D33" s="56" t="s">
        <v>40</v>
      </c>
      <c r="E33" s="56" t="s">
        <v>41</v>
      </c>
    </row>
    <row r="34" spans="1:5" ht="29.25" customHeight="1">
      <c r="A34" s="57" t="s">
        <v>42</v>
      </c>
      <c r="B34">
        <v>48.75</v>
      </c>
      <c r="C34">
        <v>17.55</v>
      </c>
      <c r="D34">
        <v>22.1</v>
      </c>
      <c r="E34">
        <v>360</v>
      </c>
    </row>
    <row r="35" spans="1:5">
      <c r="A35" s="56"/>
    </row>
    <row r="36" spans="1:5">
      <c r="A36" s="10" t="s">
        <v>43</v>
      </c>
      <c r="B36">
        <v>2470</v>
      </c>
      <c r="D36" s="56"/>
      <c r="E36" s="13"/>
    </row>
    <row r="37" spans="1:5" ht="25.5" customHeight="1">
      <c r="A37" s="14" t="s">
        <v>44</v>
      </c>
      <c r="B37">
        <v>6.6</v>
      </c>
    </row>
    <row r="39" spans="1:5">
      <c r="A39" s="56"/>
      <c r="B39" s="56"/>
    </row>
  </sheetData>
  <conditionalFormatting sqref="B16">
    <cfRule type="containsText" dxfId="3" priority="1" operator="containsText" text="Yes">
      <formula>NOT(ISERROR(SEARCH("Yes",B16)))</formula>
    </cfRule>
    <cfRule type="containsText" dxfId="2" priority="2" operator="containsText" text="No">
      <formula>NOT(ISERROR(SEARCH("No",B16)))</formula>
    </cfRule>
  </conditionalFormatting>
  <pageMargins left="0.7" right="0.7" top="0.75" bottom="0.75" header="0.3" footer="0.3"/>
  <pageSetup orientation="portrait" horizontalDpi="1200" verticalDpi="12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45D5-CB32-455A-8576-D7183959ACBB}">
  <dimension ref="A1:L40"/>
  <sheetViews>
    <sheetView topLeftCell="B4" zoomScaleNormal="100" workbookViewId="0">
      <selection activeCell="E12" sqref="E12"/>
    </sheetView>
  </sheetViews>
  <sheetFormatPr defaultRowHeight="13.15"/>
  <cols>
    <col min="1" max="1" width="37.42578125" bestFit="1" customWidth="1"/>
    <col min="2" max="2" width="27" bestFit="1" customWidth="1"/>
    <col min="3" max="3" width="16.28515625" bestFit="1" customWidth="1"/>
    <col min="4" max="4" width="19" customWidth="1"/>
    <col min="5" max="5" width="20.5703125" customWidth="1"/>
    <col min="6" max="6" width="18.5703125" customWidth="1"/>
    <col min="7" max="7" width="14" bestFit="1" customWidth="1"/>
    <col min="8" max="8" width="20.42578125" bestFit="1" customWidth="1"/>
    <col min="9" max="9" width="16.85546875" customWidth="1"/>
    <col min="10" max="10" width="14" customWidth="1"/>
    <col min="12" max="12" width="10.85546875" customWidth="1"/>
  </cols>
  <sheetData>
    <row r="1" spans="1:12" ht="15.6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28" t="s">
        <v>1</v>
      </c>
      <c r="B2" s="4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15">
      <c r="A3" s="28" t="s">
        <v>3</v>
      </c>
      <c r="B3" s="29">
        <v>75000</v>
      </c>
      <c r="C3" s="28"/>
      <c r="D3" s="30" t="s">
        <v>4</v>
      </c>
      <c r="E3" s="28"/>
      <c r="F3" s="28"/>
      <c r="G3" s="28"/>
      <c r="H3" s="31" t="s">
        <v>5</v>
      </c>
      <c r="I3" s="28"/>
      <c r="J3" s="28"/>
      <c r="K3" s="28"/>
      <c r="L3" s="28"/>
    </row>
    <row r="4" spans="1:12" ht="56.25" customHeight="1">
      <c r="A4" s="28"/>
      <c r="B4" s="32"/>
      <c r="C4" s="28" t="s">
        <v>6</v>
      </c>
      <c r="D4" s="33" t="s">
        <v>7</v>
      </c>
      <c r="E4" s="34" t="s">
        <v>8</v>
      </c>
      <c r="F4" s="34" t="s">
        <v>45</v>
      </c>
      <c r="G4" s="28"/>
      <c r="H4" s="35" t="s">
        <v>10</v>
      </c>
      <c r="I4" s="36" t="s">
        <v>11</v>
      </c>
      <c r="J4" s="45" t="s">
        <v>12</v>
      </c>
      <c r="K4" s="36" t="s">
        <v>13</v>
      </c>
      <c r="L4" s="45" t="s">
        <v>14</v>
      </c>
    </row>
    <row r="5" spans="1:12" ht="15">
      <c r="A5" s="37" t="s">
        <v>15</v>
      </c>
      <c r="B5" s="29">
        <v>2000</v>
      </c>
      <c r="C5" s="37"/>
      <c r="D5" s="59">
        <f>B5/B35</f>
        <v>41.025641025641029</v>
      </c>
      <c r="E5" s="69" t="s">
        <v>16</v>
      </c>
      <c r="F5" s="58">
        <f>B37*D5</f>
        <v>101333.33333333334</v>
      </c>
      <c r="G5" s="28"/>
      <c r="H5" s="38"/>
      <c r="I5" s="28"/>
      <c r="J5" s="28"/>
      <c r="K5" s="28"/>
      <c r="L5" s="60">
        <f>F5/K6</f>
        <v>1.7132712438338578</v>
      </c>
    </row>
    <row r="6" spans="1:12" ht="15.6">
      <c r="A6" s="39" t="s">
        <v>17</v>
      </c>
      <c r="B6" s="32"/>
      <c r="C6" s="28"/>
      <c r="D6" s="50" t="s">
        <v>17</v>
      </c>
      <c r="E6" s="39"/>
      <c r="F6" s="39"/>
      <c r="G6" s="28"/>
      <c r="H6" s="40">
        <v>963.86</v>
      </c>
      <c r="I6" s="39">
        <f>H6*365*1.2</f>
        <v>422170.68</v>
      </c>
      <c r="J6" s="39">
        <f>B30-I6</f>
        <v>-290943.18</v>
      </c>
      <c r="K6" s="39">
        <f>0.1401*I6</f>
        <v>59146.112267999997</v>
      </c>
      <c r="L6" s="63"/>
    </row>
    <row r="7" spans="1:12" ht="15">
      <c r="A7" s="41" t="s">
        <v>18</v>
      </c>
      <c r="B7" s="29">
        <v>200</v>
      </c>
      <c r="C7" s="41"/>
      <c r="D7" s="70">
        <f>B7</f>
        <v>200</v>
      </c>
      <c r="E7" s="42">
        <f>B7*B35</f>
        <v>9750</v>
      </c>
      <c r="F7" s="42">
        <f>B37*B7</f>
        <v>494000</v>
      </c>
      <c r="G7" s="28"/>
      <c r="H7" s="43"/>
      <c r="I7" s="28"/>
      <c r="J7" s="28"/>
      <c r="K7" s="28"/>
      <c r="L7" s="60">
        <f>F7/K6</f>
        <v>8.3521973136900556</v>
      </c>
    </row>
    <row r="8" spans="1:12" ht="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31.15">
      <c r="C9" s="28"/>
      <c r="D9" s="47" t="s">
        <v>19</v>
      </c>
      <c r="E9" s="28"/>
      <c r="F9" s="28"/>
      <c r="G9" s="28"/>
      <c r="J9" s="28"/>
      <c r="K9" s="28"/>
      <c r="L9" s="28"/>
    </row>
    <row r="10" spans="1:12" ht="49.5" customHeight="1">
      <c r="D10" s="46" t="s">
        <v>20</v>
      </c>
      <c r="E10" s="61">
        <f>B31</f>
        <v>359.52739726027397</v>
      </c>
      <c r="F10" s="28"/>
      <c r="G10" s="28"/>
      <c r="J10" s="28"/>
      <c r="K10" s="28"/>
      <c r="L10" s="28"/>
    </row>
    <row r="11" spans="1:12" ht="45">
      <c r="D11" s="49" t="s">
        <v>21</v>
      </c>
      <c r="E11" s="62">
        <f>SUM(D19,D23,D24,D20,D27)/B30*100</f>
        <v>73.709778819226159</v>
      </c>
      <c r="F11" s="28"/>
      <c r="G11" s="28"/>
      <c r="J11" s="28"/>
      <c r="K11" s="28"/>
      <c r="L11" s="28"/>
    </row>
    <row r="12" spans="1:12" ht="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5.6">
      <c r="A13" s="45"/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15">
      <c r="A14" s="28" t="s">
        <v>46</v>
      </c>
      <c r="B14" s="28" t="s">
        <v>47</v>
      </c>
      <c r="C14" s="28"/>
      <c r="D14" s="45"/>
      <c r="E14" s="28"/>
      <c r="F14" s="45"/>
      <c r="G14" s="28"/>
      <c r="H14" s="28"/>
      <c r="I14" s="28"/>
      <c r="J14" s="28"/>
      <c r="K14" s="28"/>
      <c r="L14" s="28"/>
    </row>
    <row r="15" spans="1:12" ht="15">
      <c r="A15" s="28" t="s">
        <v>48</v>
      </c>
      <c r="B15" s="28" t="s">
        <v>47</v>
      </c>
      <c r="C15" s="28"/>
    </row>
    <row r="16" spans="1:12" ht="15.6" thickBot="1">
      <c r="A16" s="28" t="s">
        <v>49</v>
      </c>
      <c r="B16" s="28" t="str">
        <f>IF(B13&gt;=B41,"Yes","No")</f>
        <v>Yes</v>
      </c>
      <c r="C16" s="28"/>
    </row>
    <row r="17" spans="1:4" ht="15" thickBot="1">
      <c r="A17" s="52" t="s">
        <v>73</v>
      </c>
      <c r="B17" s="51" t="s">
        <v>23</v>
      </c>
      <c r="C17" s="53" t="s">
        <v>24</v>
      </c>
      <c r="D17" s="1" t="s">
        <v>25</v>
      </c>
    </row>
    <row r="18" spans="1:4" ht="14.45">
      <c r="A18" s="3" t="s">
        <v>71</v>
      </c>
      <c r="B18" s="26">
        <f>1*B3/100000</f>
        <v>0.75</v>
      </c>
      <c r="C18" s="5">
        <v>3000</v>
      </c>
      <c r="D18" s="4">
        <f t="shared" ref="D18:D25" si="0">B18*C18</f>
        <v>2250</v>
      </c>
    </row>
    <row r="19" spans="1:4" ht="14.45">
      <c r="A19" s="3" t="s">
        <v>26</v>
      </c>
      <c r="B19" s="4">
        <f>3*B3/100000</f>
        <v>2.25</v>
      </c>
      <c r="C19" s="6">
        <v>13000</v>
      </c>
      <c r="D19" s="4">
        <f t="shared" si="0"/>
        <v>29250</v>
      </c>
    </row>
    <row r="20" spans="1:4" ht="14.45">
      <c r="A20" s="3" t="s">
        <v>27</v>
      </c>
      <c r="B20" s="4">
        <f>9.2*B3/100000</f>
        <v>6.9</v>
      </c>
      <c r="C20" s="6">
        <v>1600</v>
      </c>
      <c r="D20" s="4">
        <f t="shared" si="0"/>
        <v>11040</v>
      </c>
    </row>
    <row r="21" spans="1:4" ht="14.45">
      <c r="A21" s="3" t="s">
        <v>57</v>
      </c>
      <c r="B21" s="4">
        <f>37*B3/100000</f>
        <v>27.75</v>
      </c>
      <c r="C21" s="6">
        <v>280</v>
      </c>
      <c r="D21" s="4">
        <f t="shared" si="0"/>
        <v>7770</v>
      </c>
    </row>
    <row r="22" spans="1:4" ht="14.45">
      <c r="A22" s="3" t="s">
        <v>28</v>
      </c>
      <c r="B22" s="4">
        <f>98*B3/100000</f>
        <v>73.5</v>
      </c>
      <c r="C22" s="6">
        <v>180</v>
      </c>
      <c r="D22" s="4">
        <f t="shared" si="0"/>
        <v>13230</v>
      </c>
    </row>
    <row r="23" spans="1:4" ht="14.45">
      <c r="A23" s="3" t="s">
        <v>53</v>
      </c>
      <c r="B23" s="4">
        <f>75*B3/100000</f>
        <v>56.25</v>
      </c>
      <c r="C23" s="6">
        <v>450</v>
      </c>
      <c r="D23" s="4">
        <f t="shared" si="0"/>
        <v>25312.5</v>
      </c>
    </row>
    <row r="24" spans="1:4" ht="14.45">
      <c r="A24" s="3" t="s">
        <v>54</v>
      </c>
      <c r="B24" s="4">
        <f>1.2*B3/100000</f>
        <v>0.9</v>
      </c>
      <c r="C24" s="6">
        <v>19000</v>
      </c>
      <c r="D24" s="4">
        <f t="shared" si="0"/>
        <v>17100</v>
      </c>
    </row>
    <row r="25" spans="1:4" ht="14.45">
      <c r="A25" s="3" t="s">
        <v>32</v>
      </c>
      <c r="B25" s="20">
        <f>2.4*B3/100000</f>
        <v>1.8</v>
      </c>
      <c r="C25" s="6">
        <v>3900</v>
      </c>
      <c r="D25" s="20">
        <f t="shared" si="0"/>
        <v>7020</v>
      </c>
    </row>
    <row r="26" spans="1:4" ht="14.45">
      <c r="A26" s="19" t="s">
        <v>59</v>
      </c>
      <c r="B26" s="23">
        <f>6*B3/100000</f>
        <v>4.5</v>
      </c>
      <c r="C26" s="21">
        <v>940</v>
      </c>
      <c r="D26" s="23">
        <f>B26*C26</f>
        <v>4230</v>
      </c>
    </row>
    <row r="27" spans="1:4" ht="14.45">
      <c r="A27" s="22" t="s">
        <v>65</v>
      </c>
      <c r="B27" s="8">
        <f>11*B3/100000</f>
        <v>8.25</v>
      </c>
      <c r="C27" s="24">
        <v>1700</v>
      </c>
      <c r="D27" s="23">
        <f>B27*C27</f>
        <v>14025</v>
      </c>
    </row>
    <row r="28" spans="1:4" ht="14.45">
      <c r="A28" s="65"/>
      <c r="B28" s="8"/>
      <c r="C28" s="66"/>
      <c r="D28" s="8"/>
    </row>
    <row r="29" spans="1:4" ht="14.45">
      <c r="A29" s="65"/>
      <c r="B29" s="8"/>
      <c r="C29" s="66"/>
      <c r="D29" s="8"/>
    </row>
    <row r="30" spans="1:4">
      <c r="A30" s="7" t="s">
        <v>34</v>
      </c>
      <c r="B30" s="68">
        <f>SUM(D18:D27)</f>
        <v>131227.5</v>
      </c>
      <c r="D30" s="54"/>
    </row>
    <row r="31" spans="1:4">
      <c r="A31" s="7" t="s">
        <v>35</v>
      </c>
      <c r="B31" s="67">
        <f>B30/365</f>
        <v>359.52739726027397</v>
      </c>
      <c r="D31" s="54"/>
    </row>
    <row r="32" spans="1:4">
      <c r="A32" s="7" t="s">
        <v>36</v>
      </c>
      <c r="B32" s="68">
        <f>B30*0.1408</f>
        <v>18476.832000000002</v>
      </c>
    </row>
    <row r="34" spans="1:5" hidden="1">
      <c r="A34" s="11" t="s">
        <v>37</v>
      </c>
      <c r="B34" s="56" t="s">
        <v>38</v>
      </c>
      <c r="C34" s="56" t="s">
        <v>39</v>
      </c>
      <c r="D34" s="56" t="s">
        <v>40</v>
      </c>
      <c r="E34" s="56" t="s">
        <v>41</v>
      </c>
    </row>
    <row r="35" spans="1:5" ht="29.25" hidden="1" customHeight="1">
      <c r="A35" s="57" t="s">
        <v>42</v>
      </c>
      <c r="B35">
        <v>48.75</v>
      </c>
      <c r="C35">
        <v>17.55</v>
      </c>
      <c r="D35">
        <v>22.1</v>
      </c>
      <c r="E35">
        <v>360</v>
      </c>
    </row>
    <row r="36" spans="1:5" hidden="1">
      <c r="A36" s="56"/>
    </row>
    <row r="37" spans="1:5" hidden="1">
      <c r="A37" s="10" t="s">
        <v>43</v>
      </c>
      <c r="B37">
        <v>2470</v>
      </c>
      <c r="D37" s="56"/>
      <c r="E37" s="13"/>
    </row>
    <row r="38" spans="1:5" ht="25.5" hidden="1" customHeight="1">
      <c r="A38" s="14" t="s">
        <v>44</v>
      </c>
      <c r="B38">
        <v>6.6</v>
      </c>
    </row>
    <row r="40" spans="1:5">
      <c r="A40" s="56"/>
      <c r="B40" s="56"/>
    </row>
  </sheetData>
  <conditionalFormatting sqref="B16">
    <cfRule type="containsText" dxfId="1" priority="1" operator="containsText" text="Yes">
      <formula>NOT(ISERROR(SEARCH("Yes",B16)))</formula>
    </cfRule>
    <cfRule type="containsText" dxfId="0" priority="2" operator="containsText" text="No">
      <formula>NOT(ISERROR(SEARCH("No",B16)))</formula>
    </cfRule>
  </conditionalFormatting>
  <pageMargins left="0.7" right="0.7" top="0.75" bottom="0.75" header="0.3" footer="0.3"/>
  <pageSetup orientation="portrait" horizontalDpi="1200" verticalDpi="120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2D22E488384842A4E93845C27D1762" ma:contentTypeVersion="11" ma:contentTypeDescription="Create a new document." ma:contentTypeScope="" ma:versionID="6287c24b82ebe4c792aa5f1cdcb22344">
  <xsd:schema xmlns:xsd="http://www.w3.org/2001/XMLSchema" xmlns:xs="http://www.w3.org/2001/XMLSchema" xmlns:p="http://schemas.microsoft.com/office/2006/metadata/properties" xmlns:ns2="aaec221a-8f1f-4e31-b795-6d429fa0614b" xmlns:ns3="96ccffe0-63cc-418a-bc9e-d430fd622871" targetNamespace="http://schemas.microsoft.com/office/2006/metadata/properties" ma:root="true" ma:fieldsID="55ad236a1ed33c777284e865945cc975" ns2:_="" ns3:_="">
    <xsd:import namespace="aaec221a-8f1f-4e31-b795-6d429fa0614b"/>
    <xsd:import namespace="96ccffe0-63cc-418a-bc9e-d430fd6228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c221a-8f1f-4e31-b795-6d429fa061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cffe0-63cc-418a-bc9e-d430fd6228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341590-BA24-48A4-B112-168132B211B9}"/>
</file>

<file path=customXml/itemProps2.xml><?xml version="1.0" encoding="utf-8"?>
<ds:datastoreItem xmlns:ds="http://schemas.openxmlformats.org/officeDocument/2006/customXml" ds:itemID="{D270EEC3-4DE3-47B6-A2A7-8E46E1F85CBE}"/>
</file>

<file path=customXml/itemProps3.xml><?xml version="1.0" encoding="utf-8"?>
<ds:datastoreItem xmlns:ds="http://schemas.openxmlformats.org/officeDocument/2006/customXml" ds:itemID="{5544E645-A97C-4F91-AB0B-AAE28DF644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Armando Diego Lopez</cp:lastModifiedBy>
  <cp:revision/>
  <dcterms:created xsi:type="dcterms:W3CDTF">2021-01-28T14:40:02Z</dcterms:created>
  <dcterms:modified xsi:type="dcterms:W3CDTF">2021-06-07T22:44:49Z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0x0101003E2D22E488384842A4E93845C27D1762</vt:lpwstr>
  </property>
</Properties>
</file>