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data\"/>
    </mc:Choice>
  </mc:AlternateContent>
  <xr:revisionPtr revIDLastSave="0" documentId="13_ncr:1_{60702C77-741B-4A5A-8705-9A4A2B69D703}" xr6:coauthVersionLast="47" xr6:coauthVersionMax="47" xr10:uidLastSave="{00000000-0000-0000-0000-000000000000}"/>
  <bookViews>
    <workbookView xWindow="24" yWindow="600" windowWidth="23016" windowHeight="12360" xr2:uid="{00000000-000D-0000-FFFF-FFFF00000000}"/>
  </bookViews>
  <sheets>
    <sheet name="종합데이터" sheetId="8" r:id="rId1"/>
    <sheet name="공통졸업요건" sheetId="4" r:id="rId2"/>
    <sheet name="전공별졸업요건" sheetId="5" r:id="rId3"/>
    <sheet name="기초및전공과목" sheetId="6" r:id="rId4"/>
    <sheet name="교양-예체능-연구" sheetId="2" r:id="rId5"/>
    <sheet name="전체개설과목정보" sheetId="1" r:id="rId6"/>
    <sheet name="수강과목요약" sheetId="3" r:id="rId7"/>
  </sheets>
  <definedNames>
    <definedName name="_xlnm._FilterDatabase" localSheetId="0" hidden="1">종합데이터!$B$26:$I$33</definedName>
    <definedName name="_xlnm.Criteria" localSheetId="0">종합데이터!$B$2:$B$3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5" i="4" l="1"/>
  <c r="E27" i="4"/>
  <c r="J100" i="4"/>
  <c r="J98" i="4"/>
  <c r="E98" i="4"/>
  <c r="J82" i="4"/>
  <c r="E114" i="4"/>
  <c r="E113" i="4" s="1"/>
  <c r="J80" i="4"/>
  <c r="E80" i="4"/>
  <c r="E73" i="4"/>
  <c r="E71" i="4"/>
  <c r="E52" i="4"/>
  <c r="E51" i="4"/>
  <c r="E50" i="4"/>
  <c r="E49" i="4"/>
  <c r="E48" i="4"/>
  <c r="E47" i="4"/>
  <c r="E46" i="4"/>
  <c r="E39" i="4"/>
  <c r="E37" i="4"/>
  <c r="E36" i="4"/>
  <c r="E29" i="4"/>
  <c r="E26" i="4"/>
  <c r="E24" i="4"/>
  <c r="E23" i="4"/>
  <c r="E21" i="4"/>
  <c r="E20" i="4"/>
  <c r="E13" i="4"/>
  <c r="E12" i="4"/>
  <c r="E11" i="4"/>
  <c r="E10" i="4"/>
  <c r="E8" i="4"/>
  <c r="E7" i="4"/>
  <c r="G41" i="8"/>
  <c r="H41" i="8"/>
  <c r="I41" i="8"/>
  <c r="C41" i="8"/>
  <c r="D41" i="8"/>
  <c r="E41" i="8"/>
  <c r="F41" i="8"/>
  <c r="C18" i="8"/>
  <c r="I36" i="8"/>
  <c r="H36" i="8"/>
  <c r="G36" i="8"/>
  <c r="F36" i="8"/>
  <c r="E36" i="8"/>
  <c r="D36" i="8"/>
  <c r="C36" i="8"/>
  <c r="I39" i="8"/>
  <c r="I40" i="8" s="1"/>
  <c r="H39" i="8"/>
  <c r="H40" i="8" s="1"/>
  <c r="G39" i="8"/>
  <c r="G40" i="8" s="1"/>
  <c r="F39" i="8"/>
  <c r="F40" i="8" s="1"/>
  <c r="E39" i="8"/>
  <c r="E40" i="8" s="1"/>
  <c r="D39" i="8"/>
  <c r="D40" i="8" s="1"/>
  <c r="C39" i="8"/>
  <c r="C40" i="8" s="1"/>
  <c r="I37" i="8"/>
  <c r="I38" i="8" s="1"/>
  <c r="H37" i="8"/>
  <c r="H38" i="8" s="1"/>
  <c r="G37" i="8"/>
  <c r="G38" i="8" s="1"/>
  <c r="F37" i="8"/>
  <c r="F38" i="8" s="1"/>
  <c r="E37" i="8"/>
  <c r="E38" i="8" s="1"/>
  <c r="D37" i="8"/>
  <c r="D38" i="8" s="1"/>
  <c r="C37" i="8"/>
  <c r="C38" i="8" s="1"/>
  <c r="I42" i="8"/>
  <c r="H42" i="8"/>
  <c r="G42" i="8"/>
  <c r="F42" i="8"/>
  <c r="E42" i="8"/>
  <c r="D42" i="8"/>
  <c r="C42" i="8"/>
  <c r="I33" i="8"/>
  <c r="H33" i="8"/>
  <c r="G33" i="8"/>
  <c r="F33" i="8"/>
  <c r="E33" i="8"/>
  <c r="D33" i="8"/>
  <c r="C33" i="8"/>
  <c r="I32" i="8"/>
  <c r="H32" i="8"/>
  <c r="G32" i="8"/>
  <c r="F32" i="8"/>
  <c r="E32" i="8"/>
  <c r="D32" i="8"/>
  <c r="C32" i="8"/>
  <c r="I31" i="8"/>
  <c r="H31" i="8"/>
  <c r="G31" i="8"/>
  <c r="F31" i="8"/>
  <c r="E31" i="8"/>
  <c r="D31" i="8"/>
  <c r="C31" i="8"/>
  <c r="I30" i="8"/>
  <c r="H30" i="8"/>
  <c r="G30" i="8"/>
  <c r="F30" i="8"/>
  <c r="E30" i="8"/>
  <c r="D30" i="8"/>
  <c r="C30" i="8"/>
  <c r="I29" i="8"/>
  <c r="H29" i="8"/>
  <c r="G29" i="8"/>
  <c r="F29" i="8"/>
  <c r="E29" i="8"/>
  <c r="D29" i="8"/>
  <c r="C29" i="8"/>
  <c r="I28" i="8"/>
  <c r="H28" i="8"/>
  <c r="G28" i="8"/>
  <c r="F28" i="8"/>
  <c r="E28" i="8"/>
  <c r="D28" i="8"/>
  <c r="C28" i="8"/>
  <c r="I27" i="8"/>
  <c r="H27" i="8"/>
  <c r="G27" i="8"/>
  <c r="F27" i="8"/>
  <c r="E27" i="8"/>
  <c r="D27" i="8"/>
  <c r="C27" i="8"/>
  <c r="I23" i="8"/>
  <c r="H23" i="8"/>
  <c r="G23" i="8"/>
  <c r="F23" i="8"/>
  <c r="E23" i="8"/>
  <c r="D23" i="8"/>
  <c r="C23" i="8"/>
  <c r="I22" i="8"/>
  <c r="H22" i="8"/>
  <c r="G22" i="8"/>
  <c r="F22" i="8"/>
  <c r="E22" i="8"/>
  <c r="D22" i="8"/>
  <c r="C22" i="8"/>
  <c r="I21" i="8"/>
  <c r="H21" i="8"/>
  <c r="G21" i="8"/>
  <c r="F21" i="8"/>
  <c r="E21" i="8"/>
  <c r="D21" i="8"/>
  <c r="C21" i="8"/>
  <c r="I20" i="8"/>
  <c r="H20" i="8"/>
  <c r="G20" i="8"/>
  <c r="F20" i="8"/>
  <c r="E20" i="8"/>
  <c r="D20" i="8"/>
  <c r="C20" i="8"/>
  <c r="I19" i="8"/>
  <c r="H19" i="8"/>
  <c r="G19" i="8"/>
  <c r="F19" i="8"/>
  <c r="E19" i="8"/>
  <c r="D19" i="8"/>
  <c r="C19" i="8"/>
  <c r="I18" i="8"/>
  <c r="H18" i="8"/>
  <c r="G18" i="8"/>
  <c r="F18" i="8"/>
  <c r="E18" i="8"/>
  <c r="D18" i="8"/>
  <c r="I17" i="8"/>
  <c r="H17" i="8"/>
  <c r="G17" i="8"/>
  <c r="F17" i="8"/>
  <c r="E17" i="8"/>
  <c r="D17" i="8"/>
  <c r="C17" i="8"/>
  <c r="L13" i="8"/>
  <c r="J13" i="8"/>
  <c r="G13" i="8"/>
  <c r="L12" i="8"/>
  <c r="J12" i="8"/>
  <c r="G12" i="8"/>
  <c r="L11" i="8"/>
  <c r="J11" i="8"/>
  <c r="G11" i="8"/>
  <c r="L10" i="8"/>
  <c r="J10" i="8"/>
  <c r="G10" i="8"/>
  <c r="L9" i="8"/>
  <c r="J9" i="8"/>
  <c r="G9" i="8"/>
  <c r="L8" i="8"/>
  <c r="J8" i="8"/>
  <c r="G8" i="8"/>
  <c r="L7" i="8"/>
  <c r="J7" i="8"/>
  <c r="G7" i="8"/>
  <c r="B3" i="8"/>
  <c r="M13" i="8" l="1"/>
  <c r="M8" i="8"/>
  <c r="M11" i="8"/>
  <c r="M9" i="8"/>
  <c r="M12" i="8"/>
  <c r="M10" i="8"/>
  <c r="M7" i="8"/>
  <c r="D44" i="8"/>
  <c r="F44" i="8"/>
  <c r="H44" i="8"/>
  <c r="H43" i="8" s="1"/>
  <c r="C44" i="8"/>
  <c r="E44" i="8"/>
  <c r="G44" i="8"/>
  <c r="G43" i="8" s="1"/>
  <c r="I44" i="8"/>
  <c r="E108" i="4"/>
  <c r="E106" i="4" s="1"/>
  <c r="E105" i="4" s="1"/>
  <c r="E107" i="4"/>
  <c r="J98" i="5"/>
  <c r="J97" i="5" s="1"/>
  <c r="E96" i="5"/>
  <c r="E95" i="5" s="1"/>
  <c r="J90" i="5"/>
  <c r="J96" i="5"/>
  <c r="J94" i="5"/>
  <c r="J95" i="5"/>
  <c r="J93" i="5"/>
  <c r="J92" i="5"/>
  <c r="J91" i="5"/>
  <c r="E92" i="5"/>
  <c r="E93" i="5"/>
  <c r="E94" i="5"/>
  <c r="E91" i="5"/>
  <c r="E90" i="5"/>
  <c r="J83" i="5"/>
  <c r="J82" i="5" s="1"/>
  <c r="E81" i="5"/>
  <c r="E80" i="5" s="1"/>
  <c r="J74" i="5"/>
  <c r="J76" i="5"/>
  <c r="J75" i="5"/>
  <c r="J78" i="5"/>
  <c r="J77" i="5"/>
  <c r="J79" i="5"/>
  <c r="J80" i="5"/>
  <c r="J81" i="5"/>
  <c r="E79" i="5"/>
  <c r="E78" i="5"/>
  <c r="E77" i="5"/>
  <c r="E75" i="5"/>
  <c r="E76" i="5"/>
  <c r="E74" i="5"/>
  <c r="J59" i="5"/>
  <c r="J60" i="5"/>
  <c r="E63" i="5"/>
  <c r="J65" i="5"/>
  <c r="J64" i="5"/>
  <c r="J61" i="5"/>
  <c r="J63" i="5"/>
  <c r="J62" i="5"/>
  <c r="E62" i="5"/>
  <c r="E59" i="5"/>
  <c r="E61" i="5"/>
  <c r="E60" i="5"/>
  <c r="J67" i="5"/>
  <c r="J66" i="5" s="1"/>
  <c r="E65" i="5"/>
  <c r="E64" i="5" s="1"/>
  <c r="J51" i="5"/>
  <c r="J50" i="5" s="1"/>
  <c r="E52" i="5"/>
  <c r="E51" i="5" s="1"/>
  <c r="J49" i="5"/>
  <c r="J47" i="5"/>
  <c r="J45" i="5"/>
  <c r="J46" i="5"/>
  <c r="J48" i="5"/>
  <c r="E50" i="5"/>
  <c r="E49" i="5"/>
  <c r="E48" i="5"/>
  <c r="E47" i="5"/>
  <c r="E45" i="5"/>
  <c r="E46" i="5"/>
  <c r="O36" i="5"/>
  <c r="O35" i="5"/>
  <c r="O31" i="5"/>
  <c r="O32" i="5"/>
  <c r="O34" i="5"/>
  <c r="O33" i="5"/>
  <c r="J32" i="5"/>
  <c r="O38" i="5"/>
  <c r="O37" i="5" s="1"/>
  <c r="J34" i="5"/>
  <c r="J33" i="5" s="1"/>
  <c r="E36" i="5"/>
  <c r="E35" i="5" s="1"/>
  <c r="J31" i="5"/>
  <c r="E34" i="5"/>
  <c r="E33" i="5"/>
  <c r="E32" i="5"/>
  <c r="E31" i="5"/>
  <c r="J19" i="5"/>
  <c r="J18" i="5"/>
  <c r="J22" i="5"/>
  <c r="J21" i="5"/>
  <c r="J20" i="5"/>
  <c r="J17" i="5"/>
  <c r="J24" i="5"/>
  <c r="J23" i="5" s="1"/>
  <c r="E22" i="5"/>
  <c r="E21" i="5" s="1"/>
  <c r="E16" i="5"/>
  <c r="E15" i="5" s="1"/>
  <c r="E20" i="5"/>
  <c r="E19" i="5"/>
  <c r="E18" i="5"/>
  <c r="E17" i="5"/>
  <c r="J10" i="5"/>
  <c r="J9" i="5" s="1"/>
  <c r="E10" i="5"/>
  <c r="E9" i="5" s="1"/>
  <c r="J8" i="5"/>
  <c r="J7" i="5"/>
  <c r="E8" i="5"/>
  <c r="E6" i="5" s="1"/>
  <c r="E7" i="5"/>
  <c r="J91" i="4"/>
  <c r="J89" i="4"/>
  <c r="J88" i="4" s="1"/>
  <c r="E91" i="4"/>
  <c r="J90" i="4" s="1"/>
  <c r="E89" i="4"/>
  <c r="E88" i="4" s="1"/>
  <c r="E63" i="4"/>
  <c r="E61" i="4"/>
  <c r="E59" i="4"/>
  <c r="J99" i="4"/>
  <c r="J97" i="4"/>
  <c r="E97" i="4"/>
  <c r="E96" i="4" s="1"/>
  <c r="J81" i="4"/>
  <c r="J79" i="4"/>
  <c r="E79" i="4"/>
  <c r="E78" i="4" s="1"/>
  <c r="E72" i="4"/>
  <c r="E70" i="4"/>
  <c r="K8" i="8" l="1"/>
  <c r="K7" i="8"/>
  <c r="I9" i="8"/>
  <c r="I8" i="8"/>
  <c r="I7" i="8"/>
  <c r="I11" i="8"/>
  <c r="I12" i="8"/>
  <c r="I10" i="8"/>
  <c r="D43" i="8"/>
  <c r="I43" i="8"/>
  <c r="C43" i="8"/>
  <c r="F43" i="8"/>
  <c r="E43" i="8"/>
  <c r="J89" i="5"/>
  <c r="J88" i="5" s="1"/>
  <c r="E89" i="5"/>
  <c r="E88" i="5" s="1"/>
  <c r="J73" i="5"/>
  <c r="J72" i="5" s="1"/>
  <c r="E73" i="5"/>
  <c r="E72" i="5" s="1"/>
  <c r="J58" i="5"/>
  <c r="J57" i="5" s="1"/>
  <c r="E58" i="5"/>
  <c r="E57" i="5" s="1"/>
  <c r="J44" i="5"/>
  <c r="J43" i="5" s="1"/>
  <c r="E44" i="5"/>
  <c r="E43" i="5" s="1"/>
  <c r="O30" i="5"/>
  <c r="O29" i="5" s="1"/>
  <c r="J30" i="5"/>
  <c r="J29" i="5" s="1"/>
  <c r="E30" i="5"/>
  <c r="E29" i="5" s="1"/>
  <c r="J16" i="5"/>
  <c r="J15" i="5" s="1"/>
  <c r="E5" i="5"/>
  <c r="J6" i="5"/>
  <c r="J5" i="5" s="1"/>
  <c r="J96" i="4"/>
  <c r="E90" i="4"/>
  <c r="E87" i="4" s="1"/>
  <c r="J87" i="4"/>
  <c r="J78" i="4"/>
  <c r="I13" i="8" s="1"/>
  <c r="E69" i="4"/>
  <c r="K12" i="8" l="1"/>
  <c r="K10" i="8"/>
  <c r="K13" i="8"/>
  <c r="K11" i="8"/>
  <c r="K9" i="8"/>
  <c r="H10" i="8"/>
  <c r="H12" i="8"/>
  <c r="H13" i="8"/>
  <c r="H11" i="8"/>
  <c r="E19" i="4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F12" i="8" l="1"/>
  <c r="F11" i="8"/>
  <c r="F10" i="8"/>
  <c r="F9" i="8"/>
  <c r="F8" i="8"/>
  <c r="F7" i="8"/>
  <c r="F13" i="8"/>
  <c r="E13" i="8"/>
  <c r="E12" i="8"/>
  <c r="E11" i="8"/>
  <c r="E10" i="8"/>
  <c r="E9" i="8"/>
  <c r="E8" i="8"/>
  <c r="E7" i="8"/>
  <c r="D10" i="8"/>
  <c r="D9" i="8"/>
  <c r="D13" i="8"/>
  <c r="D8" i="8"/>
  <c r="D7" i="8"/>
  <c r="D12" i="8"/>
  <c r="D11" i="8"/>
  <c r="C9" i="8"/>
  <c r="C12" i="8"/>
  <c r="C8" i="8"/>
  <c r="C11" i="8"/>
  <c r="C10" i="8"/>
  <c r="C7" i="8"/>
  <c r="C13" i="8"/>
  <c r="E57" i="4"/>
</calcChain>
</file>

<file path=xl/sharedStrings.xml><?xml version="1.0" encoding="utf-8"?>
<sst xmlns="http://schemas.openxmlformats.org/spreadsheetml/2006/main" count="771" uniqueCount="303">
  <si>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</si>
  <si>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</si>
  <si>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</si>
  <si>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</si>
  <si>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</si>
  <si>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</si>
  <si>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</si>
  <si>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</si>
  <si>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</si>
  <si>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</si>
  <si>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</si>
  <si>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</si>
  <si>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</si>
  <si>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</si>
  <si>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</si>
  <si>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</si>
  <si>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</si>
  <si>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</si>
  <si>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</si>
  <si>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</si>
  <si>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</si>
  <si>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</si>
  <si>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</si>
  <si>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</si>
  <si>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</si>
  <si>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</si>
  <si>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</si>
  <si>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</si>
  <si>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</si>
  <si>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</si>
  <si>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</si>
  <si>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</si>
  <si>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</si>
  <si>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</si>
  <si>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</si>
  <si>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</si>
  <si>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</si>
  <si>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</si>
  <si>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</si>
  <si>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</si>
  <si>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</si>
  <si>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</si>
  <si>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</si>
  <si>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</si>
  <si>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</si>
  <si>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</si>
  <si>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</si>
  <si>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</si>
  <si>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</si>
  <si>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</si>
  <si>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</si>
  <si>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</si>
  <si>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</si>
  <si>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</si>
  <si>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</si>
  <si>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</si>
  <si>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</si>
  <si>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</si>
  <si>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</si>
  <si>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</si>
  <si>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</si>
  <si>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</si>
  <si>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</si>
  <si>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</si>
  <si>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</si>
  <si>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</si>
  <si>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</si>
  <si>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</si>
  <si>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</si>
  <si>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</si>
  <si>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</si>
  <si>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</si>
  <si>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</si>
  <si>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</si>
  <si>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</si>
  <si>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</si>
  <si>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</si>
  <si>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</si>
  <si>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</si>
  <si>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</si>
  <si>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</si>
  <si>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</si>
  <si>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</si>
  <si>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</si>
  <si>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</si>
  <si>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</si>
  <si>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</si>
  <si>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</si>
  <si>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</si>
  <si>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</si>
  <si>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</si>
  <si>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</si>
  <si>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</si>
  <si>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</si>
  <si>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</si>
  <si>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</si>
  <si>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</si>
  <si>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</si>
  <si>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</si>
  <si>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</si>
  <si>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</si>
  <si>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</si>
  <si>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</si>
  <si>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</si>
  <si>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</si>
  <si>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</si>
  <si>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</si>
  <si>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</si>
  <si>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</si>
  <si>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</si>
  <si>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</si>
  <si>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</si>
  <si>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</si>
  <si>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</si>
  <si>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</si>
  <si>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</si>
  <si>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</si>
  <si>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</si>
  <si>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</si>
  <si>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</si>
  <si>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</si>
  <si>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</si>
  <si>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</si>
  <si>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</si>
  <si>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</si>
  <si>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</si>
  <si>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</si>
  <si>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</si>
  <si>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</si>
  <si>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</si>
  <si>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</si>
  <si>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</si>
  <si>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</si>
  <si>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</si>
  <si>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</si>
  <si>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</si>
  <si>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</si>
  <si>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</si>
  <si>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</si>
  <si>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</si>
  <si>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</si>
  <si>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</si>
  <si>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</si>
  <si>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</si>
  <si>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</si>
  <si>
    <t>1. 전기전자컴퓨터학부</t>
    <phoneticPr fontId="1" type="noConversion"/>
  </si>
  <si>
    <t>전기전자컴퓨터학부</t>
    <phoneticPr fontId="1" type="noConversion"/>
  </si>
  <si>
    <t>전전컴 필수</t>
    <phoneticPr fontId="1" type="noConversion"/>
  </si>
  <si>
    <t>1-1</t>
    <phoneticPr fontId="1" type="noConversion"/>
  </si>
  <si>
    <t>전자공학 실험</t>
    <phoneticPr fontId="1" type="noConversion"/>
  </si>
  <si>
    <t>컴퓨터 시스템 이론 및 실험</t>
    <phoneticPr fontId="1" type="noConversion"/>
  </si>
  <si>
    <t>15~17</t>
    <phoneticPr fontId="1" type="noConversion"/>
  </si>
  <si>
    <t>전전컴 전공과목 이수</t>
    <phoneticPr fontId="1" type="noConversion"/>
  </si>
  <si>
    <t>전전컴 전공과목 이수 학점</t>
    <phoneticPr fontId="1" type="noConversion"/>
  </si>
  <si>
    <t>최대 36학점까지만 졸업 학점으로 인정</t>
    <phoneticPr fontId="1" type="noConversion"/>
  </si>
  <si>
    <t>최대 42학점까지만 졸업 학점으로 인정</t>
    <phoneticPr fontId="1" type="noConversion"/>
  </si>
  <si>
    <t>전공필수 과목 포함 36학점 이상을 이수했는가?</t>
    <phoneticPr fontId="1" type="noConversion"/>
  </si>
  <si>
    <t>2. 신소재공학부</t>
    <phoneticPr fontId="1" type="noConversion"/>
  </si>
  <si>
    <t>신소재공학부</t>
    <phoneticPr fontId="1" type="noConversion"/>
  </si>
  <si>
    <t>조건 1과 2 두 조건을 만족하는가?</t>
    <phoneticPr fontId="1" type="noConversion"/>
  </si>
  <si>
    <t>다음 과목을 모두 이수했는가?</t>
    <phoneticPr fontId="1" type="noConversion"/>
  </si>
  <si>
    <t>재료과학</t>
    <phoneticPr fontId="1" type="noConversion"/>
  </si>
  <si>
    <t>고분자과학</t>
    <phoneticPr fontId="1" type="noConversion"/>
  </si>
  <si>
    <t>전자재료실험</t>
    <phoneticPr fontId="1" type="noConversion"/>
  </si>
  <si>
    <t>유기재료실험</t>
    <phoneticPr fontId="1" type="noConversion"/>
  </si>
  <si>
    <t>1-2</t>
    <phoneticPr fontId="1" type="noConversion"/>
  </si>
  <si>
    <t>1-3</t>
    <phoneticPr fontId="1" type="noConversion"/>
  </si>
  <si>
    <t>신소재 필수</t>
    <phoneticPr fontId="1" type="noConversion"/>
  </si>
  <si>
    <t>신소재 전공과목 이수</t>
    <phoneticPr fontId="1" type="noConversion"/>
  </si>
  <si>
    <t>신소재 전공과목 이수 학점</t>
    <phoneticPr fontId="1" type="noConversion"/>
  </si>
  <si>
    <t>열역학</t>
    <phoneticPr fontId="1" type="noConversion"/>
  </si>
  <si>
    <t>유기재료화학</t>
    <phoneticPr fontId="1" type="noConversion"/>
  </si>
  <si>
    <t>1-4</t>
    <phoneticPr fontId="1" type="noConversion"/>
  </si>
  <si>
    <t>1-5</t>
    <phoneticPr fontId="1" type="noConversion"/>
  </si>
  <si>
    <t>2개 중 하나 이상 이수했는가?</t>
    <phoneticPr fontId="1" type="noConversion"/>
  </si>
  <si>
    <t>3. 기계공학부</t>
    <phoneticPr fontId="1" type="noConversion"/>
  </si>
  <si>
    <t>기계공학부</t>
    <phoneticPr fontId="1" type="noConversion"/>
  </si>
  <si>
    <t>기계 필수</t>
    <phoneticPr fontId="1" type="noConversion"/>
  </si>
  <si>
    <t>고체역학</t>
    <phoneticPr fontId="1" type="noConversion"/>
  </si>
  <si>
    <t>기구동역학</t>
    <phoneticPr fontId="1" type="noConversion"/>
  </si>
  <si>
    <t>공학설계</t>
    <phoneticPr fontId="1" type="noConversion"/>
  </si>
  <si>
    <t>열유체역학</t>
    <phoneticPr fontId="1" type="noConversion"/>
  </si>
  <si>
    <t>유체역학 또는 열역학 이수 포함</t>
    <phoneticPr fontId="1" type="noConversion"/>
  </si>
  <si>
    <t>기계 전공과목 이수</t>
    <phoneticPr fontId="1" type="noConversion"/>
  </si>
  <si>
    <t>기계 전공과목 이수 학점</t>
    <phoneticPr fontId="1" type="noConversion"/>
  </si>
  <si>
    <t>16~17</t>
    <phoneticPr fontId="1" type="noConversion"/>
  </si>
  <si>
    <t>유체역학</t>
    <phoneticPr fontId="1" type="noConversion"/>
  </si>
  <si>
    <t>18~</t>
    <phoneticPr fontId="1" type="noConversion"/>
  </si>
  <si>
    <t>동역학</t>
    <phoneticPr fontId="1" type="noConversion"/>
  </si>
  <si>
    <t>기계공학실험 I</t>
    <phoneticPr fontId="1" type="noConversion"/>
  </si>
  <si>
    <t>기계공학실험 II</t>
    <phoneticPr fontId="1" type="noConversion"/>
  </si>
  <si>
    <t>1-6</t>
    <phoneticPr fontId="1" type="noConversion"/>
  </si>
  <si>
    <t>4. 지구환경공학부</t>
    <phoneticPr fontId="1" type="noConversion"/>
  </si>
  <si>
    <t>지구환경공학부</t>
    <phoneticPr fontId="1" type="noConversion"/>
  </si>
  <si>
    <t>지환공 필수</t>
    <phoneticPr fontId="1" type="noConversion"/>
  </si>
  <si>
    <t>환경공학</t>
    <phoneticPr fontId="1" type="noConversion"/>
  </si>
  <si>
    <t>대기학</t>
    <phoneticPr fontId="1" type="noConversion"/>
  </si>
  <si>
    <t>해양학</t>
    <phoneticPr fontId="1" type="noConversion"/>
  </si>
  <si>
    <t>환경분석실험 I</t>
    <phoneticPr fontId="1" type="noConversion"/>
  </si>
  <si>
    <t>지구환경 열역학</t>
    <phoneticPr fontId="1" type="noConversion"/>
  </si>
  <si>
    <t>지구환경이동현상</t>
    <phoneticPr fontId="1" type="noConversion"/>
  </si>
  <si>
    <t>지환공 전공과목 이수</t>
    <phoneticPr fontId="1" type="noConversion"/>
  </si>
  <si>
    <t>지환공 전공과목 이수 학점</t>
    <phoneticPr fontId="1" type="noConversion"/>
  </si>
  <si>
    <t>15~17</t>
    <phoneticPr fontId="1" type="noConversion"/>
  </si>
  <si>
    <t>지구시스템과학</t>
    <phoneticPr fontId="1" type="noConversion"/>
  </si>
  <si>
    <t>환경분석실험 II</t>
    <phoneticPr fontId="1" type="noConversion"/>
  </si>
  <si>
    <t>5. 생명과학부</t>
    <phoneticPr fontId="1" type="noConversion"/>
  </si>
  <si>
    <t>생명과학부</t>
    <phoneticPr fontId="1" type="noConversion"/>
  </si>
  <si>
    <t>생명과학 필수</t>
    <phoneticPr fontId="1" type="noConversion"/>
  </si>
  <si>
    <t>세포생물학</t>
    <phoneticPr fontId="1" type="noConversion"/>
  </si>
  <si>
    <t>세포·발생생물학 실험</t>
    <phoneticPr fontId="1" type="noConversion"/>
  </si>
  <si>
    <t>생화학·분자생물학 실험</t>
    <phoneticPr fontId="1" type="noConversion"/>
  </si>
  <si>
    <t>생화학 II</t>
    <phoneticPr fontId="1" type="noConversion"/>
  </si>
  <si>
    <t>유기화학 I</t>
    <phoneticPr fontId="1" type="noConversion"/>
  </si>
  <si>
    <t>분자생물학</t>
    <phoneticPr fontId="1" type="noConversion"/>
  </si>
  <si>
    <t>생화학 I</t>
    <phoneticPr fontId="1" type="noConversion"/>
  </si>
  <si>
    <t>생화학 II</t>
    <phoneticPr fontId="1" type="noConversion"/>
  </si>
  <si>
    <t>생명과학 전공과목 이수</t>
    <phoneticPr fontId="1" type="noConversion"/>
  </si>
  <si>
    <t>생명과학 전공과목 이수 학점</t>
    <phoneticPr fontId="1" type="noConversion"/>
  </si>
  <si>
    <t>6. 물리·광과학과</t>
    <phoneticPr fontId="1" type="noConversion"/>
  </si>
  <si>
    <t>전자기학 및 연습 II</t>
    <phoneticPr fontId="1" type="noConversion"/>
  </si>
  <si>
    <t>양자물리 및 연습 I</t>
    <phoneticPr fontId="1" type="noConversion"/>
  </si>
  <si>
    <t>양자물리 및 연습 II</t>
    <phoneticPr fontId="1" type="noConversion"/>
  </si>
  <si>
    <t>열역학 및 통계물리</t>
    <phoneticPr fontId="1" type="noConversion"/>
  </si>
  <si>
    <t>물리실험 I</t>
    <phoneticPr fontId="1" type="noConversion"/>
  </si>
  <si>
    <t>수리물리 및 연습</t>
    <phoneticPr fontId="1" type="noConversion"/>
  </si>
  <si>
    <t>"수리물리 I" 과목으로 대체 가능</t>
    <phoneticPr fontId="1" type="noConversion"/>
  </si>
  <si>
    <t>물리·광과학과</t>
    <phoneticPr fontId="1" type="noConversion"/>
  </si>
  <si>
    <t>물리학 필수</t>
    <phoneticPr fontId="1" type="noConversion"/>
  </si>
  <si>
    <t>물리학 전공과목 이수</t>
    <phoneticPr fontId="1" type="noConversion"/>
  </si>
  <si>
    <t>물리학 전공과목 이수 학점</t>
    <phoneticPr fontId="1" type="noConversion"/>
  </si>
  <si>
    <t>고전역학 및 연습 I</t>
    <phoneticPr fontId="1" type="noConversion"/>
  </si>
  <si>
    <t>전자기학 및 연습 I</t>
    <phoneticPr fontId="1" type="noConversion"/>
  </si>
  <si>
    <t>전자기학 및 연습 II</t>
    <phoneticPr fontId="1" type="noConversion"/>
  </si>
  <si>
    <t>1-7</t>
    <phoneticPr fontId="1" type="noConversion"/>
  </si>
  <si>
    <t>1-8</t>
    <phoneticPr fontId="1" type="noConversion"/>
  </si>
  <si>
    <t>수리물리 I</t>
    <phoneticPr fontId="1" type="noConversion"/>
  </si>
  <si>
    <t>7. 화학과</t>
    <phoneticPr fontId="1" type="noConversion"/>
  </si>
  <si>
    <t>화학과</t>
    <phoneticPr fontId="1" type="noConversion"/>
  </si>
  <si>
    <t>화학과 필수</t>
    <phoneticPr fontId="1" type="noConversion"/>
  </si>
  <si>
    <t>분석화학</t>
    <phoneticPr fontId="1" type="noConversion"/>
  </si>
  <si>
    <t>물리화학 A</t>
    <phoneticPr fontId="1" type="noConversion"/>
  </si>
  <si>
    <t>화학합성실험</t>
    <phoneticPr fontId="1" type="noConversion"/>
  </si>
  <si>
    <t>고급화학실험</t>
    <phoneticPr fontId="1" type="noConversion"/>
  </si>
  <si>
    <t>물리화학 II</t>
    <phoneticPr fontId="1" type="noConversion"/>
  </si>
  <si>
    <t>유기화학 II</t>
    <phoneticPr fontId="1" type="noConversion"/>
  </si>
  <si>
    <t>"물리화학 A" 과목으로 대체 가능</t>
    <phoneticPr fontId="1" type="noConversion"/>
  </si>
  <si>
    <t>화학 전공과목 이수</t>
    <phoneticPr fontId="1" type="noConversion"/>
  </si>
  <si>
    <t>화학 전공과목 이수 학점</t>
    <phoneticPr fontId="1" type="noConversion"/>
  </si>
  <si>
    <t>유기화학 I</t>
    <phoneticPr fontId="1" type="noConversion"/>
  </si>
  <si>
    <t>물리화학 B</t>
    <phoneticPr fontId="1" type="noConversion"/>
  </si>
  <si>
    <t>화학합성실험</t>
    <phoneticPr fontId="1" type="noConversion"/>
  </si>
  <si>
    <t>무기화학</t>
    <phoneticPr fontId="1" type="noConversion"/>
  </si>
  <si>
    <t>"지구시스템과학" 과목 이수 시 이수 처리
(두 과목 모두 기이수 시 해당 과목 수강 불허)</t>
    <phoneticPr fontId="1" type="noConversion"/>
  </si>
  <si>
    <t>전공필수 과목 포함 30학점 이상을 이수했는가?</t>
    <phoneticPr fontId="1" type="noConversion"/>
  </si>
  <si>
    <t>8. 연구 과목</t>
    <phoneticPr fontId="1" type="noConversion"/>
  </si>
  <si>
    <t>학사논문연구 과목</t>
    <phoneticPr fontId="1" type="noConversion"/>
  </si>
  <si>
    <t>학사논문연구</t>
    <phoneticPr fontId="1" type="noConversion"/>
  </si>
  <si>
    <t>하위 조건 2개 모두를 만족하는가?</t>
    <phoneticPr fontId="1" type="noConversion"/>
  </si>
  <si>
    <t>1-1</t>
    <phoneticPr fontId="1" type="noConversion"/>
  </si>
  <si>
    <t>학사논문연구 I 이수</t>
    <phoneticPr fontId="1" type="noConversion"/>
  </si>
  <si>
    <t>학사논문연구 II 이수</t>
    <phoneticPr fontId="1" type="noConversion"/>
  </si>
  <si>
    <t>1-1</t>
  </si>
  <si>
    <t>9. 전체 평점 평균</t>
    <phoneticPr fontId="1" type="noConversion"/>
  </si>
  <si>
    <t>평점 평균 조건</t>
    <phoneticPr fontId="1" type="noConversion"/>
  </si>
  <si>
    <t>조건 1을 만족하는가?</t>
  </si>
  <si>
    <t>1</t>
  </si>
  <si>
    <t>평점 평균</t>
    <phoneticPr fontId="1" type="noConversion"/>
  </si>
  <si>
    <t>전체 평점이 평균 2.0을 넘는가?</t>
    <phoneticPr fontId="1" type="noConversion"/>
  </si>
  <si>
    <t>학번</t>
    <phoneticPr fontId="1" type="noConversion"/>
  </si>
  <si>
    <t>전공학점</t>
    <phoneticPr fontId="1" type="noConversion"/>
  </si>
  <si>
    <t>교양학점</t>
    <phoneticPr fontId="1" type="noConversion"/>
  </si>
  <si>
    <t>봉사활동 이수</t>
    <phoneticPr fontId="1" type="noConversion"/>
  </si>
  <si>
    <t>창의함양 이수</t>
    <phoneticPr fontId="1" type="noConversion"/>
  </si>
  <si>
    <t>이수학점 단순합</t>
    <phoneticPr fontId="1" type="noConversion"/>
  </si>
  <si>
    <t>실제 이수학점</t>
    <phoneticPr fontId="1" type="noConversion"/>
  </si>
  <si>
    <t>3. 인문사회 분야</t>
    <phoneticPr fontId="1" type="noConversion"/>
  </si>
  <si>
    <t>7. 공통필수 이수 과목
(콜로퀴움, 과기경)</t>
    <phoneticPr fontId="1" type="noConversion"/>
  </si>
  <si>
    <t>1-1. 기초과학 분야
- 수학</t>
    <phoneticPr fontId="1" type="noConversion"/>
  </si>
  <si>
    <t>1-2. 기초과학 분야
- 과학</t>
    <phoneticPr fontId="1" type="noConversion"/>
  </si>
  <si>
    <t>2-1. 언어의 기초 분야
- 영어</t>
    <phoneticPr fontId="1" type="noConversion"/>
  </si>
  <si>
    <t>2-2. 언어의 기초 분야
- 글쓰기</t>
    <phoneticPr fontId="1" type="noConversion"/>
  </si>
  <si>
    <t>9. 전체 평점 평균
(2.0 이상)</t>
    <phoneticPr fontId="1" type="noConversion"/>
  </si>
  <si>
    <t>전기전자컴퓨터전공</t>
    <phoneticPr fontId="1" type="noConversion"/>
  </si>
  <si>
    <t>신소재공학전공</t>
    <phoneticPr fontId="1" type="noConversion"/>
  </si>
  <si>
    <t>기계공학전공</t>
    <phoneticPr fontId="1" type="noConversion"/>
  </si>
  <si>
    <t>지구환경공학전공</t>
    <phoneticPr fontId="1" type="noConversion"/>
  </si>
  <si>
    <t>생명과학전공</t>
    <phoneticPr fontId="1" type="noConversion"/>
  </si>
  <si>
    <t>물리전공</t>
    <phoneticPr fontId="1" type="noConversion"/>
  </si>
  <si>
    <t>화학전공</t>
    <phoneticPr fontId="1" type="noConversion"/>
  </si>
  <si>
    <t>창의함양 중복이수</t>
    <phoneticPr fontId="1" type="noConversion"/>
  </si>
  <si>
    <t>봉사활동 중복이수</t>
    <phoneticPr fontId="1" type="noConversion"/>
  </si>
  <si>
    <t>졸업요건 세부 내용은 "공통졸업요건" 또는 "전공별졸업요건" 시트를 참고하시길 바랍니다.</t>
    <phoneticPr fontId="1" type="noConversion"/>
  </si>
  <si>
    <t>일반/기타학점</t>
    <phoneticPr fontId="1" type="noConversion"/>
  </si>
  <si>
    <t>공통졸업요건</t>
    <phoneticPr fontId="1" type="noConversion"/>
  </si>
  <si>
    <t>학번</t>
    <phoneticPr fontId="1" type="noConversion"/>
  </si>
  <si>
    <t>전공졸업요건</t>
    <phoneticPr fontId="1" type="noConversion"/>
  </si>
  <si>
    <t>전공이수학점</t>
    <phoneticPr fontId="1" type="noConversion"/>
  </si>
  <si>
    <t>일반생물학실험</t>
    <phoneticPr fontId="1" type="noConversion"/>
  </si>
  <si>
    <t>최대 이수 학점 도달 시 스타일</t>
    <phoneticPr fontId="1" type="noConversion"/>
  </si>
  <si>
    <t>의무 이수 학점 도달 시 스타일</t>
    <phoneticPr fontId="1" type="noConversion"/>
  </si>
  <si>
    <t>공통졸업요건(상단)과
전공졸업요건(좌단)을
모두 만족해야 합니다.</t>
    <phoneticPr fontId="11" type="noConversion"/>
  </si>
  <si>
    <t>학점이수현황
(130학점 이상)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</si>
</sst>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&quot;학번&quot;"/>
  </numFmts>
  <fonts count="1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3"/>
      <charset val="129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 diagonalUp="1" diagonalDown="1">
      <left/>
      <right/>
      <top/>
      <bottom/>
      <diagonal style="thin">
        <color theme="8" tint="0.39985351115451523"/>
      </diagonal>
    </border>
    <border>
      <left/>
      <right/>
      <top/>
      <bottom style="thin">
        <color theme="7" tint="-0.24994659260841701"/>
      </bottom>
      <diagonal/>
    </border>
    <border>
      <left/>
      <right/>
      <top style="thin">
        <color theme="7" tint="-0.24994659260841701"/>
      </top>
      <bottom style="thin">
        <color theme="7" tint="-0.24994659260841701"/>
      </bottom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 style="thin">
        <color theme="7" tint="-0.24994659260841701"/>
      </bottom>
      <diagonal/>
    </border>
    <border>
      <left/>
      <right style="thin">
        <color theme="7" tint="-0.24994659260841701"/>
      </right>
      <top style="thin">
        <color theme="7" tint="-0.24994659260841701"/>
      </top>
      <bottom style="thin">
        <color theme="7" tint="-0.24994659260841701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/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 wrapText="1"/>
    </xf>
    <xf numFmtId="49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3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6" borderId="0" xfId="0" applyNumberFormat="1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 wrapText="1"/>
    </xf>
    <xf numFmtId="49" fontId="6" fillId="19" borderId="0" xfId="0" applyNumberFormat="1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 wrapText="1"/>
    </xf>
    <xf numFmtId="49" fontId="6" fillId="20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49" fontId="4" fillId="0" borderId="29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Border="1"/>
    <xf numFmtId="49" fontId="6" fillId="23" borderId="0" xfId="0" applyNumberFormat="1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6" fillId="24" borderId="0" xfId="0" applyNumberFormat="1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4" fillId="14" borderId="31" xfId="0" applyFont="1" applyFill="1" applyBorder="1" applyAlignment="1">
      <alignment vertical="center"/>
    </xf>
    <xf numFmtId="0" fontId="4" fillId="26" borderId="32" xfId="0" applyFont="1" applyFill="1" applyBorder="1" applyAlignment="1">
      <alignment vertical="center"/>
    </xf>
    <xf numFmtId="0" fontId="4" fillId="14" borderId="32" xfId="0" applyNumberFormat="1" applyFont="1" applyFill="1" applyBorder="1" applyAlignment="1">
      <alignment vertical="center"/>
    </xf>
    <xf numFmtId="0" fontId="4" fillId="27" borderId="32" xfId="0" applyNumberFormat="1" applyFont="1" applyFill="1" applyBorder="1" applyAlignment="1">
      <alignment vertical="center"/>
    </xf>
    <xf numFmtId="176" fontId="4" fillId="14" borderId="33" xfId="0" applyNumberFormat="1" applyFont="1" applyFill="1" applyBorder="1" applyAlignment="1">
      <alignment horizontal="left" vertical="center" wrapText="1"/>
    </xf>
    <xf numFmtId="0" fontId="4" fillId="14" borderId="34" xfId="0" applyFont="1" applyFill="1" applyBorder="1" applyAlignment="1">
      <alignment vertical="center"/>
    </xf>
    <xf numFmtId="176" fontId="4" fillId="26" borderId="35" xfId="0" applyNumberFormat="1" applyFont="1" applyFill="1" applyBorder="1" applyAlignment="1">
      <alignment horizontal="left" vertical="center" wrapText="1"/>
    </xf>
    <xf numFmtId="0" fontId="4" fillId="26" borderId="36" xfId="0" applyFont="1" applyFill="1" applyBorder="1" applyAlignment="1">
      <alignment vertical="center"/>
    </xf>
    <xf numFmtId="176" fontId="4" fillId="14" borderId="35" xfId="0" applyNumberFormat="1" applyFont="1" applyFill="1" applyBorder="1" applyAlignment="1">
      <alignment horizontal="left" vertical="center" wrapText="1"/>
    </xf>
    <xf numFmtId="0" fontId="4" fillId="14" borderId="36" xfId="0" applyNumberFormat="1" applyFont="1" applyFill="1" applyBorder="1" applyAlignment="1">
      <alignment vertical="center"/>
    </xf>
    <xf numFmtId="176" fontId="4" fillId="27" borderId="35" xfId="0" applyNumberFormat="1" applyFont="1" applyFill="1" applyBorder="1" applyAlignment="1">
      <alignment horizontal="left" vertical="center" wrapText="1"/>
    </xf>
    <xf numFmtId="0" fontId="4" fillId="27" borderId="36" xfId="0" applyNumberFormat="1" applyFont="1" applyFill="1" applyBorder="1" applyAlignment="1">
      <alignment vertical="center"/>
    </xf>
    <xf numFmtId="176" fontId="6" fillId="25" borderId="37" xfId="0" applyNumberFormat="1" applyFont="1" applyFill="1" applyBorder="1" applyAlignment="1">
      <alignment horizontal="left" vertical="center"/>
    </xf>
    <xf numFmtId="176" fontId="6" fillId="25" borderId="0" xfId="0" applyNumberFormat="1" applyFont="1" applyFill="1" applyAlignment="1">
      <alignment horizontal="left" vertical="center"/>
    </xf>
    <xf numFmtId="176" fontId="6" fillId="25" borderId="39" xfId="0" applyNumberFormat="1" applyFont="1" applyFill="1" applyBorder="1" applyAlignment="1">
      <alignment horizontal="left" vertical="center"/>
    </xf>
    <xf numFmtId="176" fontId="0" fillId="0" borderId="0" xfId="0" applyNumberFormat="1" applyBorder="1" applyAlignment="1">
      <alignment vertical="center"/>
    </xf>
    <xf numFmtId="176" fontId="4" fillId="0" borderId="0" xfId="0" applyNumberFormat="1" applyFont="1" applyAlignment="1">
      <alignment horizontal="left" vertical="center"/>
    </xf>
    <xf numFmtId="176" fontId="4" fillId="0" borderId="38" xfId="0" applyNumberFormat="1" applyFont="1" applyBorder="1" applyAlignment="1">
      <alignment horizontal="left" vertical="center"/>
    </xf>
    <xf numFmtId="176" fontId="4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176" fontId="7" fillId="0" borderId="46" xfId="0" applyNumberFormat="1" applyFont="1" applyBorder="1" applyAlignment="1">
      <alignment horizontal="lef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0" xfId="0" applyNumberFormat="1" applyFont="1" applyBorder="1" applyAlignment="1">
      <alignment horizontal="right" vertical="center"/>
    </xf>
    <xf numFmtId="176" fontId="4" fillId="0" borderId="42" xfId="0" applyNumberFormat="1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44" xfId="0" applyNumberFormat="1" applyFont="1" applyBorder="1" applyAlignment="1">
      <alignment horizontal="right" vertical="center"/>
    </xf>
    <xf numFmtId="176" fontId="4" fillId="0" borderId="45" xfId="0" applyNumberFormat="1" applyFont="1" applyBorder="1" applyAlignment="1">
      <alignment horizontal="right" vertical="center"/>
    </xf>
    <xf numFmtId="49" fontId="0" fillId="14" borderId="0" xfId="0" applyNumberFormat="1" applyFill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/>
    </xf>
    <xf numFmtId="49" fontId="10" fillId="0" borderId="47" xfId="0" applyNumberFormat="1" applyFont="1" applyBorder="1" applyAlignment="1">
      <alignment horizontal="center" vertical="center" wrapText="1"/>
    </xf>
    <xf numFmtId="49" fontId="10" fillId="0" borderId="48" xfId="0" applyNumberFormat="1" applyFont="1" applyBorder="1" applyAlignment="1">
      <alignment horizontal="center" vertical="center" wrapText="1"/>
    </xf>
    <xf numFmtId="49" fontId="4" fillId="11" borderId="0" xfId="0" applyNumberFormat="1" applyFont="1" applyFill="1" applyAlignment="1">
      <alignment horizontal="center" vertical="center"/>
    </xf>
    <xf numFmtId="0" fontId="4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4" fillId="12" borderId="0" xfId="0" applyFont="1" applyFill="1" applyAlignment="1">
      <alignment vertical="center"/>
    </xf>
    <xf numFmtId="0" fontId="0" fillId="12" borderId="0" xfId="0" applyFill="1" applyAlignment="1">
      <alignment vertical="center"/>
    </xf>
    <xf numFmtId="49" fontId="4" fillId="6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9" fontId="4" fillId="21" borderId="0" xfId="0" applyNumberFormat="1" applyFont="1" applyFill="1" applyAlignment="1">
      <alignment horizontal="center" vertical="center"/>
    </xf>
    <xf numFmtId="49" fontId="4" fillId="22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8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4" fillId="15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8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1" xfId="0" applyFont="1" applyBorder="1" applyAlignment="1">
      <alignment vertical="center" wrapText="1"/>
    </xf>
    <xf numFmtId="0" fontId="7" fillId="0" borderId="8" xfId="0" applyFont="1" applyBorder="1" applyAlignment="1">
      <alignment vertical="center"/>
    </xf>
  </cellXfs>
  <cellStyles count="1">
    <cellStyle name="표준" xfId="0" builtinId="0"/>
  </cellStyles>
  <dxfs count="55"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family val="3"/>
        <charset val="129"/>
      </font>
      <numFmt numFmtId="176" formatCode="0&quot;학번&quot;"/>
      <alignment horizontal="left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family val="3"/>
        <charset val="129"/>
      </font>
      <numFmt numFmtId="176" formatCode="0&quot;학번&quot;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 style="thin">
          <color theme="9"/>
        </vertical>
        <horizontal style="thin">
          <color theme="9"/>
        </horizontal>
      </border>
    </dxf>
  </dxfs>
  <tableStyles count="2" defaultTableStyle="TableStyleMedium2" defaultPivotStyle="PivotStyleLight16">
    <tableStyle name="표 스타일 1" pivot="0" count="3" xr9:uid="{ACE9BA69-1A88-4F19-AE43-949F765D996C}">
      <tableStyleElement type="wholeTable" dxfId="54"/>
      <tableStyleElement type="firstColumn" dxfId="53"/>
      <tableStyleElement type="firstColumnStripe" dxfId="52"/>
    </tableStyle>
    <tableStyle name="피벗 테이블 스타일 1" table="0" count="2" xr9:uid="{B967C283-0F15-433D-910D-560181AF7A1D}">
      <tableStyleElement type="wholeTable" dxfId="51"/>
      <tableStyleElement type="firstColumn" dxfId="50"/>
    </tableStyle>
  </tableStyles>
  <colors>
    <mruColors>
      <color rgb="FFFFFFFF"/>
      <color rgb="FF3B3838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77F641-119F-4E5D-8618-B0F36F04C4A9}" name="표8" displayName="표8" ref="B6:M13" totalsRowShown="0" headerRowDxfId="43" dataDxfId="42">
  <autoFilter ref="B6:M13" xr:uid="{D177F641-119F-4E5D-8618-B0F36F04C4A9}"/>
  <tableColumns count="12">
    <tableColumn id="1" xr3:uid="{3E000FE0-06DA-47DB-9462-01686BF81D7D}" name="학번" dataDxfId="41"/>
    <tableColumn id="2" xr3:uid="{C1398AA6-1813-4419-A1BC-E42376CF6A9A}" name="1-1. 기초과학 분야_x000a_- 수학" dataDxfId="40">
      <calculatedColumnFormula>공통졸업요건!$E$5</calculatedColumnFormula>
    </tableColumn>
    <tableColumn id="3" xr3:uid="{16402FF2-45B9-4F20-9D38-0CF321CCECE2}" name="1-2. 기초과학 분야_x000a_- 과학" dataDxfId="39">
      <calculatedColumnFormula>공통졸업요건!$E$18</calculatedColumnFormula>
    </tableColumn>
    <tableColumn id="4" xr3:uid="{4A0B3545-C6BE-491B-834A-7F75FDF00177}" name="2-1. 언어의 기초 분야_x000a_- 영어" dataDxfId="38">
      <calculatedColumnFormula>공통졸업요건!$E$34</calculatedColumnFormula>
    </tableColumn>
    <tableColumn id="5" xr3:uid="{33CBC962-F37C-47D1-B39B-296110C78297}" name="2-2. 언어의 기초 분야_x000a_- 글쓰기" dataDxfId="37">
      <calculatedColumnFormula>공통졸업요건!$E$44</calculatedColumnFormula>
    </tableColumn>
    <tableColumn id="6" xr3:uid="{D4988217-9E9A-4CAE-B8BD-4EBA071A391E}" name="3. 인문사회 분야" dataDxfId="36">
      <calculatedColumnFormula>공통졸업요건!$E$57</calculatedColumnFormula>
    </tableColumn>
    <tableColumn id="7" xr3:uid="{FEC002AC-A59B-4A35-974C-00FC77C0B2DD}" name="4. 소프트웨어" dataDxfId="35">
      <calculatedColumnFormula>공통졸업요건!$E$69</calculatedColumnFormula>
    </tableColumn>
    <tableColumn id="8" xr3:uid="{50F40CE2-EF17-480A-9960-90B85403EB34}" name="5. 1학년 이수 과목" dataDxfId="34"/>
    <tableColumn id="9" xr3:uid="{718B788A-5670-4E96-975C-BCBC39B2FE79}" name="6. 예체능 과목" dataDxfId="33">
      <calculatedColumnFormula>공통졸업요건!$E$87</calculatedColumnFormula>
    </tableColumn>
    <tableColumn id="10" xr3:uid="{C6ACEBA5-5E0F-44E5-AAD4-E280478D1854}" name="7. 공통필수 이수 과목_x000a_(콜로퀴움, 과기경)" dataDxfId="32">
      <calculatedColumnFormula>공통졸업요건!$J$96</calculatedColumnFormula>
    </tableColumn>
    <tableColumn id="11" xr3:uid="{BBF92757-923D-4A21-B9E8-411E1D809031}" name="8. 연구 과목" dataDxfId="31">
      <calculatedColumnFormula>공통졸업요건!$E$105</calculatedColumnFormula>
    </tableColumn>
    <tableColumn id="12" xr3:uid="{867E4052-0EC2-4250-8C5F-CAF81EEDB45A}" name="9. 전체 평점 평균_x000a_(2.0 이상)" dataDxfId="30">
      <calculatedColumnFormula>공통졸업요건!$E$113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29B9D3-DF33-4A29-9615-005421DED1C2}" name="표10" displayName="표10" ref="B16:I23" totalsRowShown="0" headerRowDxfId="29" dataDxfId="28">
  <tableColumns count="8">
    <tableColumn id="1" xr3:uid="{C695C0D8-0A73-472C-92A6-C868651E2EDF}" name="학번" dataDxfId="27"/>
    <tableColumn id="2" xr3:uid="{00484B2A-14BC-41EC-A7BC-C01DCC1B531E}" name="전기전자컴퓨터전공" dataDxfId="26">
      <calculatedColumnFormula>전공별졸업요건!$J$5</calculatedColumnFormula>
    </tableColumn>
    <tableColumn id="3" xr3:uid="{10BB43A4-B12B-479D-B120-517CF41C7BD9}" name="신소재공학전공" dataDxfId="25">
      <calculatedColumnFormula>전공별졸업요건!$J$15</calculatedColumnFormula>
    </tableColumn>
    <tableColumn id="4" xr3:uid="{28074B42-7152-41BC-9264-B6EAFC38D221}" name="기계공학전공" dataDxfId="24">
      <calculatedColumnFormula>전공별졸업요건!$O$29</calculatedColumnFormula>
    </tableColumn>
    <tableColumn id="5" xr3:uid="{16243DDD-D69D-4D6E-91FC-064AC3CB848C}" name="지구환경공학전공" dataDxfId="23">
      <calculatedColumnFormula>전공별졸업요건!$J$43</calculatedColumnFormula>
    </tableColumn>
    <tableColumn id="6" xr3:uid="{73A87B5F-F8AC-42BD-9781-DBEA0B0477A2}" name="생명과학전공" dataDxfId="22">
      <calculatedColumnFormula>전공별졸업요건!$J$57</calculatedColumnFormula>
    </tableColumn>
    <tableColumn id="7" xr3:uid="{C11AEFB5-1534-4535-8EF4-AEE5392044C4}" name="물리전공" dataDxfId="21">
      <calculatedColumnFormula>전공별졸업요건!$J$72</calculatedColumnFormula>
    </tableColumn>
    <tableColumn id="8" xr3:uid="{8A3BA68C-9228-46C0-A61C-34C615FABFD7}" name="화학전공" dataDxfId="20">
      <calculatedColumnFormula>전공별졸업요건!$J$88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309007-0B5C-45F4-AFA4-DAB8189191EA}" name="표11" displayName="표11" ref="B26:I33" totalsRowShown="0" headerRowDxfId="19" dataDxfId="18">
  <autoFilter ref="B26:I33" xr:uid="{F3309007-0B5C-45F4-AFA4-DAB8189191EA}"/>
  <tableColumns count="8">
    <tableColumn id="1" xr3:uid="{136137DF-EC75-41E5-8689-E0F6566B403B}" name="학번" dataDxfId="17"/>
    <tableColumn id="2" xr3:uid="{DA3F6E4F-D6C4-437F-A248-F5E875652F8F}" name="전기전자컴퓨터전공" dataDxfId="16">
      <calculatedColumnFormula>전공별졸업요건!$J$10</calculatedColumnFormula>
    </tableColumn>
    <tableColumn id="3" xr3:uid="{38944F1E-ED20-410D-9B9B-FBBE50EF9A6E}" name="신소재공학전공" dataDxfId="15">
      <calculatedColumnFormula>전공별졸업요건!$J$24</calculatedColumnFormula>
    </tableColumn>
    <tableColumn id="4" xr3:uid="{ADE536A0-DCD8-48A9-B95A-D867BAD63B36}" name="기계공학전공" dataDxfId="14">
      <calculatedColumnFormula>전공별졸업요건!$O$38</calculatedColumnFormula>
    </tableColumn>
    <tableColumn id="5" xr3:uid="{CF626C8D-292A-4906-B0F8-ADACA6D80552}" name="지구환경공학전공" dataDxfId="13">
      <calculatedColumnFormula>전공별졸업요건!$J$51</calculatedColumnFormula>
    </tableColumn>
    <tableColumn id="6" xr3:uid="{FA40B1FF-485C-4545-8EDD-FC90DD93865F}" name="생명과학전공" dataDxfId="12">
      <calculatedColumnFormula>전공별졸업요건!$J$67</calculatedColumnFormula>
    </tableColumn>
    <tableColumn id="7" xr3:uid="{8D6C685B-7B30-45CC-B31A-B085BF889301}" name="물리전공" dataDxfId="11">
      <calculatedColumnFormula>전공별졸업요건!$J$83</calculatedColumnFormula>
    </tableColumn>
    <tableColumn id="8" xr3:uid="{B0CEAA05-54E1-4784-8C72-3AAC0652942F}" name="화학전공" dataDxfId="10">
      <calculatedColumnFormula>전공별졸업요건!$J$98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C890CC-99C8-4FE0-BAE4-AB674D9EFD59}" name="표12" displayName="표12" ref="B35:I44" totalsRowShown="0" headerRowDxfId="9" dataDxfId="8">
  <autoFilter ref="B35:I44" xr:uid="{AAC890CC-99C8-4FE0-BAE4-AB674D9EFD59}"/>
  <tableColumns count="8">
    <tableColumn id="1" xr3:uid="{C855F198-20E5-4E97-B8BD-897E1CE69233}" name="학점이수현황_x000a_(130학점 이상)" dataDxfId="7"/>
    <tableColumn id="2" xr3:uid="{C5963932-1D19-4A56-8F80-1DB704F93119}" name="전기전자컴퓨터전공" dataDxfId="6"/>
    <tableColumn id="3" xr3:uid="{65969E11-B57E-42AA-BFB3-0197A3DDF4AB}" name="신소재공학전공" dataDxfId="5"/>
    <tableColumn id="4" xr3:uid="{2C826FBD-2C22-4778-8FD6-E79B019638C0}" name="기계공학전공" dataDxfId="4"/>
    <tableColumn id="5" xr3:uid="{B0A9E799-B286-4584-8B53-E249CC18C8DE}" name="지구환경공학전공" dataDxfId="3"/>
    <tableColumn id="6" xr3:uid="{DA931662-5B60-45E2-9CA8-03D1A50CC1B8}" name="생명과학전공" dataDxfId="2"/>
    <tableColumn id="7" xr3:uid="{1ED42D7D-3A69-4D6E-A06F-32EBC666B26E}" name="물리전공" dataDxfId="1"/>
    <tableColumn id="8" xr3:uid="{474E753E-0887-4FA3-8C04-19D5E74C4B33}" name="화학전공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6437-592C-46A9-A5A6-A15F29E561CB}">
  <sheetPr codeName="Sheet1"/>
  <dimension ref="B1:V44"/>
  <sheetViews>
    <sheetView showGridLines="0" tabSelected="1" zoomScaleNormal="100" workbookViewId="0">
      <pane xSplit="2" topLeftCell="C1" activePane="topRight" state="frozen"/>
      <selection pane="topRight"/>
    </sheetView>
  </sheetViews>
  <sheetFormatPr defaultColWidth="25.69921875" defaultRowHeight="19.95" customHeight="1"/>
  <cols>
    <col min="1" max="1" width="1" style="102" customWidth="1"/>
    <col min="2" max="2" width="15.69921875" style="131" customWidth="1"/>
    <col min="3" max="3" width="18.796875" style="102" customWidth="1"/>
    <col min="4" max="4" width="17.69921875" style="102" customWidth="1"/>
    <col min="5" max="6" width="20.69921875" style="102" customWidth="1"/>
    <col min="7" max="7" width="16" style="102" customWidth="1"/>
    <col min="8" max="8" width="13.69921875" style="102" customWidth="1"/>
    <col min="9" max="9" width="17.69921875" style="102" customWidth="1"/>
    <col min="10" max="10" width="14.19921875" style="102" customWidth="1"/>
    <col min="11" max="11" width="20.69921875" style="102" customWidth="1"/>
    <col min="12" max="12" width="12.69921875" style="102" customWidth="1"/>
    <col min="13" max="13" width="17.69921875" style="102" customWidth="1"/>
    <col min="14" max="16384" width="25.69921875" style="102"/>
  </cols>
  <sheetData>
    <row r="1" spans="2:13" ht="7.8" customHeight="1" thickBot="1"/>
    <row r="2" spans="2:13" s="108" customFormat="1" ht="19.95" customHeight="1" thickBot="1">
      <c r="B2" s="127" t="s">
        <v>269</v>
      </c>
      <c r="G2" s="137" t="s">
        <v>292</v>
      </c>
      <c r="H2" s="138"/>
      <c r="I2" s="138"/>
      <c r="J2" s="138"/>
      <c r="K2" s="139"/>
    </row>
    <row r="3" spans="2:13" s="108" customFormat="1" ht="19.95" customHeight="1" thickBot="1">
      <c r="B3" s="136">
        <f>IF(INT(수강과목요약!$C$2/10000)-2000&lt;15,15,INT(수강과목요약!$C$2/10000)-2000)</f>
        <v>15</v>
      </c>
      <c r="C3" s="130"/>
      <c r="G3" s="140"/>
      <c r="H3" s="141"/>
      <c r="I3" s="141"/>
      <c r="J3" s="141"/>
      <c r="K3" s="142"/>
    </row>
    <row r="4" spans="2:13" ht="19.95" customHeight="1">
      <c r="K4" s="107"/>
      <c r="L4" s="107"/>
    </row>
    <row r="5" spans="2:13" ht="19.95" customHeight="1">
      <c r="B5" s="128" t="s">
        <v>294</v>
      </c>
      <c r="K5" s="114"/>
      <c r="L5" s="114"/>
    </row>
    <row r="6" spans="2:13" s="108" customFormat="1" ht="40.049999999999997" customHeight="1">
      <c r="B6" s="132" t="s">
        <v>295</v>
      </c>
      <c r="C6" s="109" t="s">
        <v>278</v>
      </c>
      <c r="D6" s="109" t="s">
        <v>279</v>
      </c>
      <c r="E6" s="109" t="s">
        <v>280</v>
      </c>
      <c r="F6" s="109" t="s">
        <v>281</v>
      </c>
      <c r="G6" s="107" t="s">
        <v>276</v>
      </c>
      <c r="H6" s="107" t="s">
        <v>95</v>
      </c>
      <c r="I6" s="107" t="s">
        <v>104</v>
      </c>
      <c r="J6" s="107" t="s">
        <v>121</v>
      </c>
      <c r="K6" s="109" t="s">
        <v>277</v>
      </c>
      <c r="L6" s="107" t="s">
        <v>255</v>
      </c>
      <c r="M6" s="109" t="s">
        <v>282</v>
      </c>
    </row>
    <row r="7" spans="2:13" ht="19.95" customHeight="1">
      <c r="B7" s="135">
        <v>15</v>
      </c>
      <c r="C7" s="111" t="str">
        <f>공통졸업요건!$E$5</f>
        <v>X</v>
      </c>
      <c r="D7" s="111" t="str">
        <f>공통졸업요건!$E$18</f>
        <v>X</v>
      </c>
      <c r="E7" s="111" t="str">
        <f>공통졸업요건!$E$34</f>
        <v>X</v>
      </c>
      <c r="F7" s="111" t="str">
        <f>공통졸업요건!$E$44</f>
        <v>X</v>
      </c>
      <c r="G7" s="111" t="str">
        <f>공통졸업요건!$E$57</f>
        <v>X</v>
      </c>
      <c r="H7" s="112"/>
      <c r="I7" s="111" t="str">
        <f>공통졸업요건!$E$78</f>
        <v>X</v>
      </c>
      <c r="J7" s="111" t="str">
        <f>공통졸업요건!$E$87</f>
        <v>X</v>
      </c>
      <c r="K7" s="111" t="str">
        <f>공통졸업요건!$E$96</f>
        <v>X</v>
      </c>
      <c r="L7" s="111" t="str">
        <f>공통졸업요건!$E$105</f>
        <v>X</v>
      </c>
      <c r="M7" s="111" t="str">
        <f>공통졸업요건!$E$113</f>
        <v>X</v>
      </c>
    </row>
    <row r="8" spans="2:13" ht="19.95" customHeight="1">
      <c r="B8" s="135">
        <v>16</v>
      </c>
      <c r="C8" s="111" t="str">
        <f>공통졸업요건!$E$5</f>
        <v>X</v>
      </c>
      <c r="D8" s="111" t="str">
        <f>공통졸업요건!$E$18</f>
        <v>X</v>
      </c>
      <c r="E8" s="111" t="str">
        <f>공통졸업요건!$E$34</f>
        <v>X</v>
      </c>
      <c r="F8" s="111" t="str">
        <f>공통졸업요건!$E$44</f>
        <v>X</v>
      </c>
      <c r="G8" s="111" t="str">
        <f>공통졸업요건!$E$57</f>
        <v>X</v>
      </c>
      <c r="H8" s="112"/>
      <c r="I8" s="111" t="str">
        <f>공통졸업요건!$E$78</f>
        <v>X</v>
      </c>
      <c r="J8" s="111" t="str">
        <f>공통졸업요건!$E$87</f>
        <v>X</v>
      </c>
      <c r="K8" s="111" t="str">
        <f>공통졸업요건!$E$96</f>
        <v>X</v>
      </c>
      <c r="L8" s="111" t="str">
        <f>공통졸업요건!$E$105</f>
        <v>X</v>
      </c>
      <c r="M8" s="111" t="str">
        <f>공통졸업요건!$E$113</f>
        <v>X</v>
      </c>
    </row>
    <row r="9" spans="2:13" ht="19.95" customHeight="1">
      <c r="B9" s="135">
        <v>17</v>
      </c>
      <c r="C9" s="111" t="str">
        <f>공통졸업요건!$E$5</f>
        <v>X</v>
      </c>
      <c r="D9" s="111" t="str">
        <f>공통졸업요건!$E$18</f>
        <v>X</v>
      </c>
      <c r="E9" s="111" t="str">
        <f>공통졸업요건!$E$34</f>
        <v>X</v>
      </c>
      <c r="F9" s="111" t="str">
        <f>공통졸업요건!$E$44</f>
        <v>X</v>
      </c>
      <c r="G9" s="111" t="str">
        <f>공통졸업요건!$E$57</f>
        <v>X</v>
      </c>
      <c r="H9" s="112"/>
      <c r="I9" s="111" t="str">
        <f>공통졸업요건!$E$78</f>
        <v>X</v>
      </c>
      <c r="J9" s="111" t="str">
        <f>공통졸업요건!$E$87</f>
        <v>X</v>
      </c>
      <c r="K9" s="111" t="str">
        <f>공통졸업요건!$J$96</f>
        <v>X</v>
      </c>
      <c r="L9" s="111" t="str">
        <f>공통졸업요건!$E$105</f>
        <v>X</v>
      </c>
      <c r="M9" s="111" t="str">
        <f>공통졸업요건!$E$113</f>
        <v>X</v>
      </c>
    </row>
    <row r="10" spans="2:13" ht="19.95" customHeight="1">
      <c r="B10" s="135">
        <v>18</v>
      </c>
      <c r="C10" s="111" t="str">
        <f>공통졸업요건!$E$5</f>
        <v>X</v>
      </c>
      <c r="D10" s="111" t="str">
        <f>공통졸업요건!$E$18</f>
        <v>X</v>
      </c>
      <c r="E10" s="111" t="str">
        <f>공통졸업요건!$E$34</f>
        <v>X</v>
      </c>
      <c r="F10" s="111" t="str">
        <f>공통졸업요건!$E$44</f>
        <v>X</v>
      </c>
      <c r="G10" s="111" t="str">
        <f>공통졸업요건!$E$57</f>
        <v>X</v>
      </c>
      <c r="H10" s="111" t="str">
        <f>공통졸업요건!$E$69</f>
        <v>X</v>
      </c>
      <c r="I10" s="111" t="str">
        <f>공통졸업요건!$E$78</f>
        <v>X</v>
      </c>
      <c r="J10" s="111" t="str">
        <f>공통졸업요건!$E$87</f>
        <v>X</v>
      </c>
      <c r="K10" s="111" t="str">
        <f>공통졸업요건!$J$96</f>
        <v>X</v>
      </c>
      <c r="L10" s="111" t="str">
        <f>공통졸업요건!$E$105</f>
        <v>X</v>
      </c>
      <c r="M10" s="111" t="str">
        <f>공통졸업요건!$E$113</f>
        <v>X</v>
      </c>
    </row>
    <row r="11" spans="2:13" ht="19.95" customHeight="1">
      <c r="B11" s="135">
        <v>19</v>
      </c>
      <c r="C11" s="111" t="str">
        <f>공통졸업요건!$E$5</f>
        <v>X</v>
      </c>
      <c r="D11" s="111" t="str">
        <f>공통졸업요건!$E$18</f>
        <v>X</v>
      </c>
      <c r="E11" s="111" t="str">
        <f>공통졸업요건!$E$34</f>
        <v>X</v>
      </c>
      <c r="F11" s="111" t="str">
        <f>공통졸업요건!$E$44</f>
        <v>X</v>
      </c>
      <c r="G11" s="111" t="str">
        <f>공통졸업요건!$E$57</f>
        <v>X</v>
      </c>
      <c r="H11" s="111" t="str">
        <f>공통졸업요건!$E$69</f>
        <v>X</v>
      </c>
      <c r="I11" s="111" t="str">
        <f>공통졸업요건!$E$78</f>
        <v>X</v>
      </c>
      <c r="J11" s="111" t="str">
        <f>공통졸업요건!$E$87</f>
        <v>X</v>
      </c>
      <c r="K11" s="111" t="str">
        <f>공통졸업요건!$J$96</f>
        <v>X</v>
      </c>
      <c r="L11" s="111" t="str">
        <f>공통졸업요건!$E$105</f>
        <v>X</v>
      </c>
      <c r="M11" s="111" t="str">
        <f>공통졸업요건!$E$113</f>
        <v>X</v>
      </c>
    </row>
    <row r="12" spans="2:13" ht="19.95" customHeight="1">
      <c r="B12" s="135">
        <v>20</v>
      </c>
      <c r="C12" s="111" t="str">
        <f>공통졸업요건!$E$5</f>
        <v>X</v>
      </c>
      <c r="D12" s="111" t="str">
        <f>공통졸업요건!$E$18</f>
        <v>X</v>
      </c>
      <c r="E12" s="111" t="str">
        <f>공통졸업요건!$E$34</f>
        <v>X</v>
      </c>
      <c r="F12" s="111" t="str">
        <f>공통졸업요건!$E$44</f>
        <v>X</v>
      </c>
      <c r="G12" s="111" t="str">
        <f>공통졸업요건!$E$57</f>
        <v>X</v>
      </c>
      <c r="H12" s="111" t="str">
        <f>공통졸업요건!$E$69</f>
        <v>X</v>
      </c>
      <c r="I12" s="111" t="str">
        <f>공통졸업요건!$E$78</f>
        <v>X</v>
      </c>
      <c r="J12" s="111" t="str">
        <f>공통졸업요건!$E$87</f>
        <v>X</v>
      </c>
      <c r="K12" s="111" t="str">
        <f>공통졸업요건!$J$96</f>
        <v>X</v>
      </c>
      <c r="L12" s="111" t="str">
        <f>공통졸업요건!$E$105</f>
        <v>X</v>
      </c>
      <c r="M12" s="111" t="str">
        <f>공통졸업요건!$E$113</f>
        <v>X</v>
      </c>
    </row>
    <row r="13" spans="2:13" ht="19.95" customHeight="1">
      <c r="B13" s="135">
        <v>21</v>
      </c>
      <c r="C13" s="111" t="str">
        <f>공통졸업요건!$E$5</f>
        <v>X</v>
      </c>
      <c r="D13" s="111" t="str">
        <f>공통졸업요건!$E$18</f>
        <v>X</v>
      </c>
      <c r="E13" s="111" t="str">
        <f>공통졸업요건!$E$34</f>
        <v>X</v>
      </c>
      <c r="F13" s="111" t="str">
        <f>공통졸업요건!$E$44</f>
        <v>X</v>
      </c>
      <c r="G13" s="111" t="str">
        <f>공통졸업요건!$E$57</f>
        <v>X</v>
      </c>
      <c r="H13" s="111" t="str">
        <f>공통졸업요건!$E$69</f>
        <v>X</v>
      </c>
      <c r="I13" s="111" t="str">
        <f>공통졸업요건!$J$78</f>
        <v>X</v>
      </c>
      <c r="J13" s="111" t="str">
        <f>공통졸업요건!$E$87</f>
        <v>X</v>
      </c>
      <c r="K13" s="111" t="str">
        <f>공통졸업요건!$J$96</f>
        <v>X</v>
      </c>
      <c r="L13" s="111" t="str">
        <f>공통졸업요건!$E$105</f>
        <v>X</v>
      </c>
      <c r="M13" s="111" t="str">
        <f>공통졸업요건!$E$113</f>
        <v>X</v>
      </c>
    </row>
    <row r="14" spans="2:13" ht="19.95" customHeight="1" thickBot="1">
      <c r="C14" s="107"/>
      <c r="D14" s="107"/>
      <c r="E14" s="107"/>
      <c r="F14" s="107"/>
      <c r="G14" s="107"/>
      <c r="H14" s="107"/>
      <c r="I14" s="107"/>
      <c r="K14" s="107"/>
      <c r="L14" s="107"/>
      <c r="M14" s="107"/>
    </row>
    <row r="15" spans="2:13" ht="19.95" customHeight="1">
      <c r="B15" s="129" t="s">
        <v>296</v>
      </c>
      <c r="C15" s="107"/>
      <c r="D15" s="107"/>
      <c r="E15" s="107"/>
      <c r="F15" s="107"/>
      <c r="G15" s="107"/>
      <c r="H15" s="107"/>
      <c r="I15" s="107"/>
      <c r="K15" s="145" t="s">
        <v>301</v>
      </c>
      <c r="L15" s="107"/>
      <c r="M15" s="107"/>
    </row>
    <row r="16" spans="2:13" ht="40.049999999999997" customHeight="1" thickBot="1">
      <c r="B16" s="131" t="s">
        <v>295</v>
      </c>
      <c r="C16" s="102" t="s">
        <v>283</v>
      </c>
      <c r="D16" s="102" t="s">
        <v>284</v>
      </c>
      <c r="E16" s="102" t="s">
        <v>285</v>
      </c>
      <c r="F16" s="102" t="s">
        <v>286</v>
      </c>
      <c r="G16" s="102" t="s">
        <v>287</v>
      </c>
      <c r="H16" s="102" t="s">
        <v>288</v>
      </c>
      <c r="I16" s="102" t="s">
        <v>289</v>
      </c>
      <c r="J16" s="108"/>
      <c r="K16" s="146"/>
    </row>
    <row r="17" spans="2:22" ht="19.95" customHeight="1">
      <c r="B17" s="135">
        <v>15</v>
      </c>
      <c r="C17" s="113" t="str">
        <f>전공별졸업요건!$E$5</f>
        <v>X</v>
      </c>
      <c r="D17" s="113" t="str">
        <f>전공별졸업요건!$E$15</f>
        <v>X</v>
      </c>
      <c r="E17" s="113" t="str">
        <f>전공별졸업요건!$E$29</f>
        <v>X</v>
      </c>
      <c r="F17" s="113" t="str">
        <f>전공별졸업요건!$E$43</f>
        <v>X</v>
      </c>
      <c r="G17" s="113" t="str">
        <f>전공별졸업요건!$E$57</f>
        <v>X</v>
      </c>
      <c r="H17" s="113" t="str">
        <f>전공별졸업요건!$E$72</f>
        <v>X</v>
      </c>
      <c r="I17" s="113" t="str">
        <f>전공별졸업요건!$E$88</f>
        <v>X</v>
      </c>
    </row>
    <row r="18" spans="2:22" ht="19.95" customHeight="1">
      <c r="B18" s="135">
        <v>16</v>
      </c>
      <c r="C18" s="113" t="str">
        <f>전공별졸업요건!$E$5</f>
        <v>X</v>
      </c>
      <c r="D18" s="113" t="str">
        <f>전공별졸업요건!$E$15</f>
        <v>X</v>
      </c>
      <c r="E18" s="113" t="str">
        <f>전공별졸업요건!$J$29</f>
        <v>X</v>
      </c>
      <c r="F18" s="113" t="str">
        <f>전공별졸업요건!$E$43</f>
        <v>X</v>
      </c>
      <c r="G18" s="113" t="str">
        <f>전공별졸업요건!$E$57</f>
        <v>X</v>
      </c>
      <c r="H18" s="113" t="str">
        <f>전공별졸업요건!$E$72</f>
        <v>X</v>
      </c>
      <c r="I18" s="113" t="str">
        <f>전공별졸업요건!$E$88</f>
        <v>X</v>
      </c>
    </row>
    <row r="19" spans="2:22" ht="19.95" customHeight="1">
      <c r="B19" s="135">
        <v>17</v>
      </c>
      <c r="C19" s="113" t="str">
        <f>전공별졸업요건!$E$5</f>
        <v>X</v>
      </c>
      <c r="D19" s="113" t="str">
        <f>전공별졸업요건!$E$15</f>
        <v>X</v>
      </c>
      <c r="E19" s="113" t="str">
        <f>전공별졸업요건!$J$29</f>
        <v>X</v>
      </c>
      <c r="F19" s="113" t="str">
        <f>전공별졸업요건!$E$43</f>
        <v>X</v>
      </c>
      <c r="G19" s="113" t="str">
        <f>전공별졸업요건!$E$57</f>
        <v>X</v>
      </c>
      <c r="H19" s="113" t="str">
        <f>전공별졸업요건!$E$72</f>
        <v>X</v>
      </c>
      <c r="I19" s="113" t="str">
        <f>전공별졸업요건!$E$88</f>
        <v>X</v>
      </c>
    </row>
    <row r="20" spans="2:22" s="108" customFormat="1" ht="19.95" customHeight="1">
      <c r="B20" s="135">
        <v>18</v>
      </c>
      <c r="C20" s="113" t="str">
        <f>전공별졸업요건!$J$5</f>
        <v>X</v>
      </c>
      <c r="D20" s="113" t="str">
        <f>전공별졸업요건!$J$15</f>
        <v>X</v>
      </c>
      <c r="E20" s="113" t="str">
        <f>전공별졸업요건!$O$29</f>
        <v>X</v>
      </c>
      <c r="F20" s="113" t="str">
        <f>전공별졸업요건!$J$43</f>
        <v>X</v>
      </c>
      <c r="G20" s="113" t="str">
        <f>전공별졸업요건!$J$57</f>
        <v>X</v>
      </c>
      <c r="H20" s="113" t="str">
        <f>전공별졸업요건!$J$72</f>
        <v>X</v>
      </c>
      <c r="I20" s="113" t="str">
        <f>전공별졸업요건!$J$88</f>
        <v>X</v>
      </c>
      <c r="J20" s="102"/>
    </row>
    <row r="21" spans="2:22" ht="19.95" customHeight="1">
      <c r="B21" s="135">
        <v>19</v>
      </c>
      <c r="C21" s="113" t="str">
        <f>전공별졸업요건!$J$5</f>
        <v>X</v>
      </c>
      <c r="D21" s="113" t="str">
        <f>전공별졸업요건!$J$15</f>
        <v>X</v>
      </c>
      <c r="E21" s="113" t="str">
        <f>전공별졸업요건!$O$29</f>
        <v>X</v>
      </c>
      <c r="F21" s="113" t="str">
        <f>전공별졸업요건!$J$43</f>
        <v>X</v>
      </c>
      <c r="G21" s="113" t="str">
        <f>전공별졸업요건!$J$57</f>
        <v>X</v>
      </c>
      <c r="H21" s="113" t="str">
        <f>전공별졸업요건!$J$72</f>
        <v>X</v>
      </c>
      <c r="I21" s="113" t="str">
        <f>전공별졸업요건!$J$88</f>
        <v>X</v>
      </c>
    </row>
    <row r="22" spans="2:22" ht="19.95" customHeight="1">
      <c r="B22" s="110">
        <v>20</v>
      </c>
      <c r="C22" s="113" t="str">
        <f>전공별졸업요건!$J$5</f>
        <v>X</v>
      </c>
      <c r="D22" s="113" t="str">
        <f>전공별졸업요건!$J$15</f>
        <v>X</v>
      </c>
      <c r="E22" s="113" t="str">
        <f>전공별졸업요건!$O$29</f>
        <v>X</v>
      </c>
      <c r="F22" s="113" t="str">
        <f>전공별졸업요건!$J$43</f>
        <v>X</v>
      </c>
      <c r="G22" s="113" t="str">
        <f>전공별졸업요건!$J$57</f>
        <v>X</v>
      </c>
      <c r="H22" s="113" t="str">
        <f>전공별졸업요건!$J$72</f>
        <v>X</v>
      </c>
      <c r="I22" s="113" t="str">
        <f>전공별졸업요건!$J$88</f>
        <v>X</v>
      </c>
    </row>
    <row r="23" spans="2:22" ht="19.95" customHeight="1">
      <c r="B23" s="110">
        <v>21</v>
      </c>
      <c r="C23" s="113" t="str">
        <f>전공별졸업요건!$J$5</f>
        <v>X</v>
      </c>
      <c r="D23" s="113" t="str">
        <f>전공별졸업요건!$J$15</f>
        <v>X</v>
      </c>
      <c r="E23" s="113" t="str">
        <f>전공별졸업요건!$O$29</f>
        <v>X</v>
      </c>
      <c r="F23" s="113" t="str">
        <f>전공별졸업요건!$J$43</f>
        <v>X</v>
      </c>
      <c r="G23" s="113" t="str">
        <f>전공별졸업요건!$J$57</f>
        <v>X</v>
      </c>
      <c r="H23" s="113" t="str">
        <f>전공별졸업요건!$J$72</f>
        <v>X</v>
      </c>
      <c r="I23" s="113" t="str">
        <f>전공별졸업요건!$J$88</f>
        <v>X</v>
      </c>
    </row>
    <row r="24" spans="2:22" ht="19.95" customHeight="1">
      <c r="L24" s="107"/>
      <c r="M24" s="107"/>
      <c r="P24" s="107"/>
      <c r="Q24" s="107"/>
      <c r="R24" s="107"/>
      <c r="S24" s="107"/>
      <c r="T24" s="107"/>
      <c r="U24" s="107"/>
      <c r="V24" s="107"/>
    </row>
    <row r="25" spans="2:22" ht="19.95" customHeight="1">
      <c r="B25" s="129" t="s">
        <v>297</v>
      </c>
      <c r="C25" s="143" t="s">
        <v>300</v>
      </c>
      <c r="D25" s="143"/>
      <c r="E25" s="144" t="s">
        <v>299</v>
      </c>
      <c r="F25" s="144"/>
    </row>
    <row r="26" spans="2:22" ht="40.049999999999997" customHeight="1">
      <c r="B26" s="131" t="s">
        <v>295</v>
      </c>
      <c r="C26" s="102" t="s">
        <v>283</v>
      </c>
      <c r="D26" s="102" t="s">
        <v>284</v>
      </c>
      <c r="E26" s="102" t="s">
        <v>285</v>
      </c>
      <c r="F26" s="102" t="s">
        <v>286</v>
      </c>
      <c r="G26" s="102" t="s">
        <v>287</v>
      </c>
      <c r="H26" s="102" t="s">
        <v>288</v>
      </c>
      <c r="I26" s="102" t="s">
        <v>289</v>
      </c>
      <c r="J26" s="108"/>
    </row>
    <row r="27" spans="2:22" ht="19.95" customHeight="1">
      <c r="B27" s="135">
        <v>15</v>
      </c>
      <c r="C27" s="104">
        <f>전공별졸업요건!$E$10</f>
        <v>0</v>
      </c>
      <c r="D27" s="104">
        <f>전공별졸업요건!$E$22</f>
        <v>0</v>
      </c>
      <c r="E27" s="104">
        <f>전공별졸업요건!$E$36</f>
        <v>0</v>
      </c>
      <c r="F27" s="104">
        <f>전공별졸업요건!$E$52</f>
        <v>0</v>
      </c>
      <c r="G27" s="104">
        <f>전공별졸업요건!$E$65</f>
        <v>0</v>
      </c>
      <c r="H27" s="104">
        <f>전공별졸업요건!$E$81</f>
        <v>0</v>
      </c>
      <c r="I27" s="104">
        <f>전공별졸업요건!$E$96</f>
        <v>0</v>
      </c>
    </row>
    <row r="28" spans="2:22" ht="19.95" customHeight="1">
      <c r="B28" s="135">
        <v>16</v>
      </c>
      <c r="C28" s="104">
        <f>전공별졸업요건!$E$10</f>
        <v>0</v>
      </c>
      <c r="D28" s="104">
        <f>전공별졸업요건!$E$22</f>
        <v>0</v>
      </c>
      <c r="E28" s="104">
        <f>전공별졸업요건!$J$34</f>
        <v>0</v>
      </c>
      <c r="F28" s="104">
        <f>전공별졸업요건!$E$52</f>
        <v>0</v>
      </c>
      <c r="G28" s="104">
        <f>전공별졸업요건!$E$65</f>
        <v>0</v>
      </c>
      <c r="H28" s="104">
        <f>전공별졸업요건!$E$81</f>
        <v>0</v>
      </c>
      <c r="I28" s="104">
        <f>전공별졸업요건!$E$96</f>
        <v>0</v>
      </c>
    </row>
    <row r="29" spans="2:22" ht="19.95" customHeight="1">
      <c r="B29" s="135">
        <v>17</v>
      </c>
      <c r="C29" s="104">
        <f>전공별졸업요건!$E$10</f>
        <v>0</v>
      </c>
      <c r="D29" s="104">
        <f>전공별졸업요건!$E$22</f>
        <v>0</v>
      </c>
      <c r="E29" s="104">
        <f>전공별졸업요건!$J$34</f>
        <v>0</v>
      </c>
      <c r="F29" s="104">
        <f>전공별졸업요건!$E$52</f>
        <v>0</v>
      </c>
      <c r="G29" s="104">
        <f>전공별졸업요건!$E$65</f>
        <v>0</v>
      </c>
      <c r="H29" s="104">
        <f>전공별졸업요건!$E$81</f>
        <v>0</v>
      </c>
      <c r="I29" s="104">
        <f>전공별졸업요건!$E$96</f>
        <v>0</v>
      </c>
    </row>
    <row r="30" spans="2:22" s="108" customFormat="1" ht="19.95" customHeight="1">
      <c r="B30" s="135">
        <v>18</v>
      </c>
      <c r="C30" s="104">
        <f>전공별졸업요건!$J$10</f>
        <v>0</v>
      </c>
      <c r="D30" s="104">
        <f>전공별졸업요건!$J$24</f>
        <v>0</v>
      </c>
      <c r="E30" s="104">
        <f>전공별졸업요건!$O$38</f>
        <v>0</v>
      </c>
      <c r="F30" s="104">
        <f>전공별졸업요건!$J$51</f>
        <v>0</v>
      </c>
      <c r="G30" s="104">
        <f>전공별졸업요건!$J$67</f>
        <v>0</v>
      </c>
      <c r="H30" s="104">
        <f>전공별졸업요건!$J$83</f>
        <v>0</v>
      </c>
      <c r="I30" s="104">
        <f>전공별졸업요건!$J$98</f>
        <v>0</v>
      </c>
      <c r="J30" s="102"/>
    </row>
    <row r="31" spans="2:22" ht="19.95" customHeight="1">
      <c r="B31" s="135">
        <v>19</v>
      </c>
      <c r="C31" s="104">
        <f>전공별졸업요건!$J$10</f>
        <v>0</v>
      </c>
      <c r="D31" s="104">
        <f>전공별졸업요건!$J$24</f>
        <v>0</v>
      </c>
      <c r="E31" s="104">
        <f>전공별졸업요건!$O$38</f>
        <v>0</v>
      </c>
      <c r="F31" s="104">
        <f>전공별졸업요건!$J$51</f>
        <v>0</v>
      </c>
      <c r="G31" s="104">
        <f>전공별졸업요건!$J$67</f>
        <v>0</v>
      </c>
      <c r="H31" s="104">
        <f>전공별졸업요건!$J$83</f>
        <v>0</v>
      </c>
      <c r="I31" s="104">
        <f>전공별졸업요건!$J$98</f>
        <v>0</v>
      </c>
    </row>
    <row r="32" spans="2:22" ht="19.95" customHeight="1">
      <c r="B32" s="110">
        <v>20</v>
      </c>
      <c r="C32" s="104">
        <f>전공별졸업요건!$J$10</f>
        <v>0</v>
      </c>
      <c r="D32" s="104">
        <f>전공별졸업요건!$J$24</f>
        <v>0</v>
      </c>
      <c r="E32" s="104">
        <f>전공별졸업요건!$O$38</f>
        <v>0</v>
      </c>
      <c r="F32" s="104">
        <f>전공별졸업요건!$J$51</f>
        <v>0</v>
      </c>
      <c r="G32" s="104">
        <f>전공별졸업요건!$J$67</f>
        <v>0</v>
      </c>
      <c r="H32" s="104">
        <f>전공별졸업요건!$J$83</f>
        <v>0</v>
      </c>
      <c r="I32" s="104">
        <f>전공별졸업요건!$J$98</f>
        <v>0</v>
      </c>
    </row>
    <row r="33" spans="2:11" ht="19.95" customHeight="1">
      <c r="B33" s="110">
        <v>21</v>
      </c>
      <c r="C33" s="104">
        <f>전공별졸업요건!$J$10</f>
        <v>0</v>
      </c>
      <c r="D33" s="104">
        <f>전공별졸업요건!$J$24</f>
        <v>0</v>
      </c>
      <c r="E33" s="104">
        <f>전공별졸업요건!$O$38</f>
        <v>0</v>
      </c>
      <c r="F33" s="104">
        <f>전공별졸업요건!$J$51</f>
        <v>0</v>
      </c>
      <c r="G33" s="104">
        <f>전공별졸업요건!$J$67</f>
        <v>0</v>
      </c>
      <c r="H33" s="104">
        <f>전공별졸업요건!$J$83</f>
        <v>0</v>
      </c>
      <c r="I33" s="104">
        <f>전공별졸업요건!$J$98</f>
        <v>0</v>
      </c>
    </row>
    <row r="35" spans="2:11" ht="40.049999999999997" customHeight="1">
      <c r="B35" s="133" t="s">
        <v>302</v>
      </c>
      <c r="C35" s="102" t="s">
        <v>283</v>
      </c>
      <c r="D35" s="102" t="s">
        <v>284</v>
      </c>
      <c r="E35" s="102" t="s">
        <v>285</v>
      </c>
      <c r="F35" s="102" t="s">
        <v>286</v>
      </c>
      <c r="G35" s="102" t="s">
        <v>287</v>
      </c>
      <c r="H35" s="102" t="s">
        <v>288</v>
      </c>
      <c r="I35" s="102" t="s">
        <v>289</v>
      </c>
      <c r="J35" s="103"/>
      <c r="K35" s="105"/>
    </row>
    <row r="36" spans="2:11" ht="19.95" customHeight="1">
      <c r="B36" s="134" t="s">
        <v>274</v>
      </c>
      <c r="C36" s="107">
        <f ca="1">SUMIFS(수강과목요약!$G$6:$G$1000,수강과목요약!$H$6:$H$1000,"&lt;&gt;F",수강과목요약!$H$6:$H$1000,"&lt;&gt;U")</f>
        <v>0</v>
      </c>
      <c r="D36" s="107">
        <f ca="1">SUMIFS(수강과목요약!$G$6:$G$1000,수강과목요약!$H$6:$H$1000,"&lt;&gt;F",수강과목요약!$H$6:$H$1000,"&lt;&gt;U")</f>
        <v>0</v>
      </c>
      <c r="E36" s="107">
        <f ca="1">SUMIFS(수강과목요약!$G$6:$G$1000,수강과목요약!$H$6:$H$1000,"&lt;&gt;F",수강과목요약!$H$6:$H$1000,"&lt;&gt;U")</f>
        <v>0</v>
      </c>
      <c r="F36" s="107">
        <f ca="1">SUMIFS(수강과목요약!$G$6:$G$1000,수강과목요약!$H$6:$H$1000,"&lt;&gt;F",수강과목요약!$H$6:$H$1000,"&lt;&gt;U")</f>
        <v>0</v>
      </c>
      <c r="G36" s="107">
        <f ca="1">SUMIFS(수강과목요약!$G$6:$G$1000,수강과목요약!$H$6:$H$1000,"&lt;&gt;F",수강과목요약!$H$6:$H$1000,"&lt;&gt;U")</f>
        <v>0</v>
      </c>
      <c r="H36" s="107">
        <f ca="1">SUMIFS(수강과목요약!$G$6:$G$1000,수강과목요약!$H$6:$H$1000,"&lt;&gt;F",수강과목요약!$H$6:$H$1000,"&lt;&gt;U")</f>
        <v>0</v>
      </c>
      <c r="I36" s="107">
        <f ca="1">SUMIFS(수강과목요약!$G$6:$G$1000,수강과목요약!$H$6:$H$1000,"&lt;&gt;F",수강과목요약!$H$6:$H$1000,"&lt;&gt;U")</f>
        <v>0</v>
      </c>
    </row>
    <row r="37" spans="2:11" ht="19.95" customHeight="1">
      <c r="B37" s="134" t="s">
        <v>272</v>
      </c>
      <c r="C37" s="104">
        <f>COUNTIFS(수강과목요약!$F$6:$F$1000,"사회봉사",수강과목요약!$H$6:$H$1000,"&lt;&gt;U")+COUNTIFS(수강과목요약!$F$6:$F$1000,"해회봉사",수강과목요약!$H$6:$H$1000,"&lt;&gt;U")</f>
        <v>0</v>
      </c>
      <c r="D37" s="104">
        <f>COUNTIFS(수강과목요약!$F$6:$F$1000,"사회봉사",수강과목요약!$H$6:$H$1000,"&lt;&gt;U")+COUNTIFS(수강과목요약!$F$6:$F$1000,"해회봉사",수강과목요약!$H$6:$H$1000,"&lt;&gt;U")</f>
        <v>0</v>
      </c>
      <c r="E37" s="104">
        <f>COUNTIFS(수강과목요약!$F$6:$F$1000,"사회봉사",수강과목요약!$H$6:$H$1000,"&lt;&gt;U")+COUNTIFS(수강과목요약!$F$6:$F$1000,"해회봉사",수강과목요약!$H$6:$H$1000,"&lt;&gt;U")</f>
        <v>0</v>
      </c>
      <c r="F37" s="104">
        <f>COUNTIFS(수강과목요약!$F$6:$F$1000,"사회봉사",수강과목요약!$H$6:$H$1000,"&lt;&gt;U")+COUNTIFS(수강과목요약!$F$6:$F$1000,"해회봉사",수강과목요약!$H$6:$H$1000,"&lt;&gt;U")</f>
        <v>0</v>
      </c>
      <c r="G37" s="104">
        <f>COUNTIFS(수강과목요약!$F$6:$F$1000,"사회봉사",수강과목요약!$H$6:$H$1000,"&lt;&gt;U")+COUNTIFS(수강과목요약!$F$6:$F$1000,"해회봉사",수강과목요약!$H$6:$H$1000,"&lt;&gt;U")</f>
        <v>0</v>
      </c>
      <c r="H37" s="104">
        <f>COUNTIFS(수강과목요약!$F$6:$F$1000,"사회봉사",수강과목요약!$H$6:$H$1000,"&lt;&gt;U")+COUNTIFS(수강과목요약!$F$6:$F$1000,"해회봉사",수강과목요약!$H$6:$H$1000,"&lt;&gt;U")</f>
        <v>0</v>
      </c>
      <c r="I37" s="104">
        <f>COUNTIFS(수강과목요약!$F$6:$F$1000,"사회봉사",수강과목요약!$H$6:$H$1000,"&lt;&gt;U")+COUNTIFS(수강과목요약!$F$6:$F$1000,"해회봉사",수강과목요약!$H$6:$H$1000,"&lt;&gt;U")</f>
        <v>0</v>
      </c>
      <c r="J37" s="107"/>
      <c r="K37" s="106"/>
    </row>
    <row r="38" spans="2:11" ht="19.95" customHeight="1">
      <c r="B38" s="134" t="s">
        <v>291</v>
      </c>
      <c r="C38" s="104">
        <f t="shared" ref="C38:I38" si="0">IF(C37&gt;=2,C37-1,0)</f>
        <v>0</v>
      </c>
      <c r="D38" s="104">
        <f t="shared" si="0"/>
        <v>0</v>
      </c>
      <c r="E38" s="104">
        <f t="shared" si="0"/>
        <v>0</v>
      </c>
      <c r="F38" s="104">
        <f t="shared" si="0"/>
        <v>0</v>
      </c>
      <c r="G38" s="104">
        <f t="shared" si="0"/>
        <v>0</v>
      </c>
      <c r="H38" s="104">
        <f t="shared" si="0"/>
        <v>0</v>
      </c>
      <c r="I38" s="104">
        <f t="shared" si="0"/>
        <v>0</v>
      </c>
      <c r="J38" s="107"/>
      <c r="K38" s="106"/>
    </row>
    <row r="39" spans="2:11" ht="19.95" customHeight="1">
      <c r="B39" s="134" t="s">
        <v>273</v>
      </c>
      <c r="C39" s="104">
        <f>COUNTIFS(수강과목요약!$F$6:$F$1000,"창의함양",수강과목요약!$H$6:$H$1000,"&lt;&gt;U")</f>
        <v>0</v>
      </c>
      <c r="D39" s="104">
        <f>COUNTIFS(수강과목요약!$F$6:$F$1000,"창의함양",수강과목요약!$H$6:$H$1000,"&lt;&gt;U")</f>
        <v>0</v>
      </c>
      <c r="E39" s="104">
        <f>COUNTIFS(수강과목요약!$F$6:$F$1000,"창의함양",수강과목요약!$H$6:$H$1000,"&lt;&gt;U")</f>
        <v>0</v>
      </c>
      <c r="F39" s="104">
        <f>COUNTIFS(수강과목요약!$F$6:$F$1000,"창의함양",수강과목요약!$H$6:$H$1000,"&lt;&gt;U")</f>
        <v>0</v>
      </c>
      <c r="G39" s="104">
        <f>COUNTIFS(수강과목요약!$F$6:$F$1000,"창의함양",수강과목요약!$H$6:$H$1000,"&lt;&gt;U")</f>
        <v>0</v>
      </c>
      <c r="H39" s="104">
        <f>COUNTIFS(수강과목요약!$F$6:$F$1000,"창의함양",수강과목요약!$H$6:$H$1000,"&lt;&gt;U")</f>
        <v>0</v>
      </c>
      <c r="I39" s="104">
        <f>COUNTIFS(수강과목요약!$F$6:$F$1000,"창의함양",수강과목요약!$H$6:$H$1000,"&lt;&gt;U")</f>
        <v>0</v>
      </c>
      <c r="J39" s="107"/>
      <c r="K39" s="106"/>
    </row>
    <row r="40" spans="2:11" ht="19.95" customHeight="1">
      <c r="B40" s="134" t="s">
        <v>290</v>
      </c>
      <c r="C40" s="104">
        <f t="shared" ref="C40:I40" si="1">IF(C39&gt;=2,C39-1,0)</f>
        <v>0</v>
      </c>
      <c r="D40" s="104">
        <f t="shared" si="1"/>
        <v>0</v>
      </c>
      <c r="E40" s="104">
        <f t="shared" si="1"/>
        <v>0</v>
      </c>
      <c r="F40" s="104">
        <f t="shared" si="1"/>
        <v>0</v>
      </c>
      <c r="G40" s="104">
        <f t="shared" si="1"/>
        <v>0</v>
      </c>
      <c r="H40" s="104">
        <f t="shared" si="1"/>
        <v>0</v>
      </c>
      <c r="I40" s="104">
        <f t="shared" si="1"/>
        <v>0</v>
      </c>
      <c r="J40" s="107"/>
      <c r="K40" s="106"/>
    </row>
    <row r="41" spans="2:11" ht="19.95" customHeight="1">
      <c r="B41" s="119" t="s">
        <v>270</v>
      </c>
      <c r="C41" s="115">
        <f>VLOOKUP($B$3,$B$27:$I$33,2,0)</f>
        <v>0</v>
      </c>
      <c r="D41" s="115">
        <f>VLOOKUP($B$3,$B$27:$I$33,3,0)</f>
        <v>0</v>
      </c>
      <c r="E41" s="115">
        <f>VLOOKUP($B$3,$B$27:$I$33,4,0)</f>
        <v>0</v>
      </c>
      <c r="F41" s="115">
        <f>VLOOKUP($B$3,$B$27:$I$33,5,0)</f>
        <v>0</v>
      </c>
      <c r="G41" s="115">
        <f>VLOOKUP($B$3,$B$27:$I$33,6,0)</f>
        <v>0</v>
      </c>
      <c r="H41" s="115">
        <f>VLOOKUP($B$3,$B$27:$I$33,7,0)</f>
        <v>0</v>
      </c>
      <c r="I41" s="120">
        <f>VLOOKUP($B$3,$B$27:$I$33,8,0)</f>
        <v>0</v>
      </c>
      <c r="J41" s="107"/>
      <c r="K41" s="106"/>
    </row>
    <row r="42" spans="2:11" ht="19.95" customHeight="1">
      <c r="B42" s="121" t="s">
        <v>271</v>
      </c>
      <c r="C42" s="116">
        <f>공통졸업요건!$E$64</f>
        <v>0</v>
      </c>
      <c r="D42" s="116">
        <f>공통졸업요건!$E$64</f>
        <v>0</v>
      </c>
      <c r="E42" s="116">
        <f>공통졸업요건!$E$64</f>
        <v>0</v>
      </c>
      <c r="F42" s="116">
        <f>공통졸업요건!$E$64</f>
        <v>0</v>
      </c>
      <c r="G42" s="116">
        <f>공통졸업요건!$E$64</f>
        <v>0</v>
      </c>
      <c r="H42" s="116">
        <f>공통졸업요건!$E$64</f>
        <v>0</v>
      </c>
      <c r="I42" s="122">
        <f>공통졸업요건!$E$64</f>
        <v>0</v>
      </c>
      <c r="J42" s="107"/>
      <c r="K42" s="106"/>
    </row>
    <row r="43" spans="2:11" ht="19.95" customHeight="1">
      <c r="B43" s="123" t="s">
        <v>293</v>
      </c>
      <c r="C43" s="117">
        <f t="shared" ref="C43:I43" ca="1" si="2">C44-C41-C42</f>
        <v>0</v>
      </c>
      <c r="D43" s="117">
        <f t="shared" ca="1" si="2"/>
        <v>0</v>
      </c>
      <c r="E43" s="117">
        <f t="shared" ca="1" si="2"/>
        <v>0</v>
      </c>
      <c r="F43" s="117">
        <f t="shared" ca="1" si="2"/>
        <v>0</v>
      </c>
      <c r="G43" s="117">
        <f t="shared" ca="1" si="2"/>
        <v>0</v>
      </c>
      <c r="H43" s="117">
        <f t="shared" ca="1" si="2"/>
        <v>0</v>
      </c>
      <c r="I43" s="124">
        <f t="shared" ca="1" si="2"/>
        <v>0</v>
      </c>
      <c r="J43" s="107"/>
      <c r="K43" s="106"/>
    </row>
    <row r="44" spans="2:11" ht="19.95" customHeight="1">
      <c r="B44" s="125" t="s">
        <v>275</v>
      </c>
      <c r="C44" s="118">
        <f t="shared" ref="C44:I44" ca="1" si="3">C36-C38-C40</f>
        <v>0</v>
      </c>
      <c r="D44" s="118">
        <f t="shared" ca="1" si="3"/>
        <v>0</v>
      </c>
      <c r="E44" s="118">
        <f t="shared" ca="1" si="3"/>
        <v>0</v>
      </c>
      <c r="F44" s="118">
        <f t="shared" ca="1" si="3"/>
        <v>0</v>
      </c>
      <c r="G44" s="118">
        <f t="shared" ca="1" si="3"/>
        <v>0</v>
      </c>
      <c r="H44" s="118">
        <f t="shared" ca="1" si="3"/>
        <v>0</v>
      </c>
      <c r="I44" s="126">
        <f t="shared" ca="1" si="3"/>
        <v>0</v>
      </c>
    </row>
  </sheetData>
  <mergeCells count="4">
    <mergeCell ref="G2:K3"/>
    <mergeCell ref="C25:D25"/>
    <mergeCell ref="E25:F25"/>
    <mergeCell ref="K15:K16"/>
  </mergeCells>
  <phoneticPr fontId="1" type="noConversion"/>
  <conditionalFormatting sqref="C7:M13">
    <cfRule type="cellIs" dxfId="49" priority="14" operator="notEqual">
      <formula>"X"</formula>
    </cfRule>
  </conditionalFormatting>
  <conditionalFormatting sqref="C17:I23">
    <cfRule type="cellIs" dxfId="48" priority="13" operator="notEqual">
      <formula>"X"</formula>
    </cfRule>
  </conditionalFormatting>
  <conditionalFormatting sqref="C27:I29">
    <cfRule type="cellIs" dxfId="47" priority="12" operator="greaterThan">
      <formula>36</formula>
    </cfRule>
  </conditionalFormatting>
  <conditionalFormatting sqref="C27:I29 D30:D33">
    <cfRule type="cellIs" dxfId="46" priority="2" operator="greaterThanOrEqual">
      <formula>30</formula>
    </cfRule>
  </conditionalFormatting>
  <conditionalFormatting sqref="C30:C33 E30:I33">
    <cfRule type="cellIs" dxfId="45" priority="11" operator="greaterThan">
      <formula>42</formula>
    </cfRule>
    <cfRule type="cellIs" dxfId="44" priority="1" operator="greaterThanOrEqual">
      <formula>36</formula>
    </cfRule>
  </conditionalFormatting>
  <pageMargins left="0.7" right="0.7" top="0.75" bottom="0.75" header="0.3" footer="0.3"/>
  <pageSetup paperSize="9" orientation="portrait" verticalDpi="0" r:id="rId1"/>
  <ignoredErrors>
    <ignoredError sqref="C17:I19 C27:I29" calculatedColumn="1"/>
  </ignoredErrors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sheetPr codeName="Sheet2"/>
  <dimension ref="B1:J116"/>
  <sheetViews>
    <sheetView showGridLines="0" workbookViewId="0"/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165" t="s">
        <v>0</v>
      </c>
      <c r="C2" s="165"/>
      <c r="D2" s="165"/>
      <c r="E2" s="165"/>
    </row>
    <row r="3" spans="2:9" ht="19.95" customHeight="1">
      <c r="B3" s="166" t="s">
        <v>1</v>
      </c>
      <c r="C3" s="166"/>
      <c r="D3" s="166"/>
      <c r="E3" s="5" t="s">
        <v>2</v>
      </c>
    </row>
    <row r="4" spans="2:9" ht="40.049999999999997" customHeight="1">
      <c r="B4" s="6" t="s">
        <v>3</v>
      </c>
      <c r="C4" s="7" t="s">
        <v>4</v>
      </c>
      <c r="D4" s="7" t="s">
        <v>5</v>
      </c>
      <c r="E4" s="8" t="s">
        <v>6</v>
      </c>
    </row>
    <row r="5" spans="2:9" ht="19.95" customHeight="1" thickBot="1">
      <c r="B5" s="9" t="s">
        <v>7</v>
      </c>
      <c r="C5" s="10" t="s">
        <v>8</v>
      </c>
      <c r="D5" s="11" t="s">
        <v>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10</v>
      </c>
      <c r="D6" s="15" t="s">
        <v>11</v>
      </c>
      <c r="E6" s="1" t="str">
        <f>IF(COUNTIF(E7:E8,"O")&gt;=1,"O","X")</f>
        <v>X</v>
      </c>
    </row>
    <row r="7" spans="2:9" ht="19.95" customHeight="1">
      <c r="B7" s="16" t="s">
        <v>12</v>
      </c>
      <c r="C7" s="17" t="s">
        <v>13</v>
      </c>
      <c r="D7" s="18"/>
      <c r="E7" s="19" t="str">
        <f>IF(SUMIF(전체개설과목정보!$D$6:$D$1000,"미적분학*",전체개설과목정보!$H$6:$H$1000)&gt;0,"O","X")</f>
        <v>X</v>
      </c>
    </row>
    <row r="8" spans="2:9" ht="19.95" customHeight="1" thickBot="1">
      <c r="B8" s="20" t="s">
        <v>14</v>
      </c>
      <c r="C8" s="21" t="s">
        <v>15</v>
      </c>
      <c r="D8" s="22"/>
      <c r="E8" s="23" t="str">
        <f>IF(SUMIF(전체개설과목정보!$D$6:$D$1000,"고급*"&amp;"*미적분학*",전체개설과목정보!$H$6:$H$1000)&gt;0,"O","X")</f>
        <v>X</v>
      </c>
    </row>
    <row r="9" spans="2:9" ht="19.95" customHeight="1" thickTop="1" thickBot="1">
      <c r="B9" s="24" t="s">
        <v>16</v>
      </c>
      <c r="C9" s="25" t="s">
        <v>17</v>
      </c>
      <c r="D9" s="26" t="s">
        <v>18</v>
      </c>
      <c r="E9" s="27" t="str">
        <f>IF(COUNTIF(E10:E13,"O")&gt;=1,"O","X")</f>
        <v>X</v>
      </c>
    </row>
    <row r="10" spans="2:9" ht="19.95" customHeight="1">
      <c r="B10" s="16" t="s">
        <v>19</v>
      </c>
      <c r="C10" s="17" t="s">
        <v>20</v>
      </c>
      <c r="D10" s="18"/>
      <c r="E10" s="19" t="str">
        <f>IF(SUMIF(전체개설과목정보!$D$6:$D$1000,"다변수해석학*",전체개설과목정보!$H$6:$H$1000)&gt;0,"O","X")</f>
        <v>X</v>
      </c>
    </row>
    <row r="11" spans="2:9" ht="19.95" customHeight="1">
      <c r="B11" s="28" t="s">
        <v>21</v>
      </c>
      <c r="C11" s="29" t="s">
        <v>22</v>
      </c>
      <c r="D11" s="30"/>
      <c r="E11" s="19" t="str">
        <f>IF(SUMIF(전체개설과목정보!$D$6:$D$1000,"미분방정식*",전체개설과목정보!$H$6:$H$1000)&gt;0,"O","X")</f>
        <v>X</v>
      </c>
    </row>
    <row r="12" spans="2:9" ht="19.95" customHeight="1">
      <c r="B12" s="28" t="s">
        <v>23</v>
      </c>
      <c r="C12" s="29" t="s">
        <v>24</v>
      </c>
      <c r="D12" s="30"/>
      <c r="E12" s="19" t="str">
        <f>IF(SUMIF(전체개설과목정보!$D$6:$D$1000,"선형대수학*",전체개설과목정보!$H$6:$H$1000)&gt;0,"O","X")</f>
        <v>X</v>
      </c>
      <c r="I12" s="69"/>
    </row>
    <row r="13" spans="2:9" ht="40.049999999999997" customHeight="1" thickBot="1">
      <c r="B13" s="20" t="s">
        <v>25</v>
      </c>
      <c r="C13" s="31" t="s">
        <v>26</v>
      </c>
      <c r="D13" s="22"/>
      <c r="E13" s="23" t="str">
        <f>IF(SUMIF(전체개설과목정보!$D$6:$D$1000,"*미분방정식*"&amp;"*선형대수학*",전체개설과목정보!$H$6:$H$1000)&gt;0,"O","X")</f>
        <v>X</v>
      </c>
    </row>
    <row r="14" spans="2:9" ht="19.95" customHeight="1" thickTop="1"/>
    <row r="15" spans="2:9" ht="19.95" customHeight="1">
      <c r="B15" s="165" t="s">
        <v>27</v>
      </c>
      <c r="C15" s="165"/>
      <c r="D15" s="165"/>
      <c r="E15" s="165"/>
    </row>
    <row r="16" spans="2:9" ht="19.95" customHeight="1">
      <c r="B16" s="166" t="s">
        <v>1</v>
      </c>
      <c r="C16" s="166"/>
      <c r="D16" s="166"/>
      <c r="E16" s="5" t="s">
        <v>2</v>
      </c>
    </row>
    <row r="17" spans="2:5" ht="40.049999999999997" customHeight="1">
      <c r="B17" s="6" t="s">
        <v>3</v>
      </c>
      <c r="C17" s="7" t="s">
        <v>4</v>
      </c>
      <c r="D17" s="7" t="s">
        <v>5</v>
      </c>
      <c r="E17" s="8" t="s">
        <v>6</v>
      </c>
    </row>
    <row r="18" spans="2:5" ht="19.95" customHeight="1" thickBot="1">
      <c r="B18" s="24" t="s">
        <v>7</v>
      </c>
      <c r="C18" s="25" t="s">
        <v>28</v>
      </c>
      <c r="D18" s="26" t="s">
        <v>93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29</v>
      </c>
      <c r="C19" s="14" t="s">
        <v>30</v>
      </c>
      <c r="D19" s="15" t="s">
        <v>31</v>
      </c>
      <c r="E19" s="27" t="str">
        <f>IF(COUNTIF(E20:E21,"O")&gt;=2,"O","X")</f>
        <v>X</v>
      </c>
    </row>
    <row r="20" spans="2:5" ht="19.95" customHeight="1">
      <c r="B20" s="16" t="s">
        <v>12</v>
      </c>
      <c r="C20" s="17" t="s">
        <v>32</v>
      </c>
      <c r="D20" s="18"/>
      <c r="E20" s="19" t="str">
        <f>IF(SUMIF(전체개설과목정보!$D$6:$D$1000,"*일반물리학 및 연습 I",전체개설과목정보!$H$6:$H$1000)&gt;0,"O","X")</f>
        <v>X</v>
      </c>
    </row>
    <row r="21" spans="2:5" ht="19.95" customHeight="1" thickBot="1">
      <c r="B21" s="20" t="s">
        <v>14</v>
      </c>
      <c r="C21" s="21" t="s">
        <v>33</v>
      </c>
      <c r="D21" s="22"/>
      <c r="E21" s="19" t="str">
        <f>IF(SUMIF(전체개설과목정보!$D$6:$D$1000,"일반물리학*"&amp;"*실험*"&amp;"*Ⅰ",전체개설과목정보!$H$6:$H$1000)+SUMIF(전체개설과목정보!$D$6:$D$1000,"일반물리학*"&amp;"*실험*"&amp;"*I",전체개설과목정보!$H$6:$H$1000)&gt;0,"O","X")</f>
        <v>X</v>
      </c>
    </row>
    <row r="22" spans="2:5" ht="19.95" customHeight="1" thickTop="1" thickBot="1">
      <c r="B22" s="13" t="s">
        <v>16</v>
      </c>
      <c r="C22" s="32" t="s">
        <v>34</v>
      </c>
      <c r="D22" s="15" t="s">
        <v>31</v>
      </c>
      <c r="E22" s="33" t="str">
        <f>IF(COUNTIF(E23:E24,"O")&gt;=2,"O","X")</f>
        <v>X</v>
      </c>
    </row>
    <row r="23" spans="2:5" ht="19.95" customHeight="1">
      <c r="B23" s="16" t="s">
        <v>19</v>
      </c>
      <c r="C23" s="17" t="s">
        <v>35</v>
      </c>
      <c r="D23" s="18"/>
      <c r="E23" s="19" t="str">
        <f>IF(SUMIF(전체개설과목정보!$D$6:$D$1000,"*일반화학 및 연습 I",전체개설과목정보!$H$6:$H$1000)&gt;0,"O","X")</f>
        <v>X</v>
      </c>
    </row>
    <row r="24" spans="2:5" ht="19.95" customHeight="1" thickBot="1">
      <c r="B24" s="20" t="s">
        <v>21</v>
      </c>
      <c r="C24" s="21" t="s">
        <v>36</v>
      </c>
      <c r="D24" s="22"/>
      <c r="E24" s="19" t="str">
        <f>IF(SUMIF(전체개설과목정보!$D$6:$D$1000,"일반화학*"&amp;"*실험*"&amp;"*Ⅰ",전체개설과목정보!$H$6:$H$1000)+SUMIF(전체개설과목정보!$D$6:$D$1000,"일반화학*"&amp;"*실험*"&amp;"*I",전체개설과목정보!$H$6:$H$1000)&gt;0,"O","X")</f>
        <v>X</v>
      </c>
    </row>
    <row r="25" spans="2:5" ht="19.95" customHeight="1" thickTop="1" thickBot="1">
      <c r="B25" s="13" t="s">
        <v>37</v>
      </c>
      <c r="C25" s="14" t="s">
        <v>38</v>
      </c>
      <c r="D25" s="15" t="s">
        <v>31</v>
      </c>
      <c r="E25" s="33" t="str">
        <f>IF(COUNTIF(E26:E27,"O")&gt;=2,"O","X")</f>
        <v>X</v>
      </c>
    </row>
    <row r="26" spans="2:5" ht="40.049999999999997" customHeight="1">
      <c r="B26" s="16" t="s">
        <v>39</v>
      </c>
      <c r="C26" s="34" t="s">
        <v>40</v>
      </c>
      <c r="D26" s="18"/>
      <c r="E26" s="19" t="str">
        <f>IF(SUMIF(전체개설과목정보!$D$6:$D$1000,"생물학*",전체개설과목정보!$H$6:$H$1000)+SUMIF(전체개설과목정보!$D$6:$D$1000,"인간 생물학*",전체개설과목정보!$H$6:$H$1000)+SUMIF(전체개설과목정보!$D$6:$D$1000,"고급일반생물학*",전체개설과목정보!$H$6:$H$1000)&gt;0,"O","X")</f>
        <v>X</v>
      </c>
    </row>
    <row r="27" spans="2:5" ht="19.95" customHeight="1" thickBot="1">
      <c r="B27" s="20" t="s">
        <v>41</v>
      </c>
      <c r="C27" s="21" t="s">
        <v>298</v>
      </c>
      <c r="D27" s="22"/>
      <c r="E27" s="19" t="str">
        <f>IF(SUMIF(전체개설과목정보!$D$6:$D$1000,"일반생물학*"&amp;"*실험*",전체개설과목정보!$H$6:$H$1000)+SUMIF(전체개설과목정보!$D$6:$D$1000,"일반생물학*"&amp;"*실험*",전체개설과목정보!$H$6:$H$1000)&gt;0,"O","X")</f>
        <v>X</v>
      </c>
    </row>
    <row r="28" spans="2:5" ht="19.95" customHeight="1" thickTop="1" thickBot="1">
      <c r="B28" s="13" t="s">
        <v>42</v>
      </c>
      <c r="C28" s="14" t="s">
        <v>43</v>
      </c>
      <c r="D28" s="15" t="s">
        <v>44</v>
      </c>
      <c r="E28" s="33" t="str">
        <f>IF(COUNTIF(E29,"O")&gt;=1,"O","X")</f>
        <v>X</v>
      </c>
    </row>
    <row r="29" spans="2:5" ht="19.95" customHeight="1" thickBot="1">
      <c r="B29" s="9" t="s">
        <v>45</v>
      </c>
      <c r="C29" s="10" t="s">
        <v>46</v>
      </c>
      <c r="D29" s="35"/>
      <c r="E29" s="57" t="str">
        <f>IF(SUMIF(전체개설과목정보!$D$6:$D$1000,"컴퓨터 프로그래밍",전체개설과목정보!$H$6:$H$1000)&gt;0,"O","X")</f>
        <v>X</v>
      </c>
    </row>
    <row r="30" spans="2:5" ht="19.95" customHeight="1" thickTop="1"/>
    <row r="31" spans="2:5" ht="19.95" customHeight="1">
      <c r="B31" s="167" t="s">
        <v>47</v>
      </c>
      <c r="C31" s="167"/>
      <c r="D31" s="167"/>
      <c r="E31" s="167"/>
    </row>
    <row r="32" spans="2:5" ht="19.95" customHeight="1">
      <c r="B32" s="168" t="s">
        <v>1</v>
      </c>
      <c r="C32" s="168"/>
      <c r="D32" s="168"/>
      <c r="E32" s="5" t="s">
        <v>2</v>
      </c>
    </row>
    <row r="33" spans="2:5" ht="40.049999999999997" customHeight="1">
      <c r="B33" s="36" t="s">
        <v>3</v>
      </c>
      <c r="C33" s="37" t="s">
        <v>4</v>
      </c>
      <c r="D33" s="37" t="s">
        <v>5</v>
      </c>
      <c r="E33" s="38" t="s">
        <v>6</v>
      </c>
    </row>
    <row r="34" spans="2:5" ht="19.95" customHeight="1" thickBot="1">
      <c r="B34" s="9" t="s">
        <v>7</v>
      </c>
      <c r="C34" s="10" t="s">
        <v>48</v>
      </c>
      <c r="D34" s="11" t="s">
        <v>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49</v>
      </c>
      <c r="D35" s="15" t="s">
        <v>11</v>
      </c>
      <c r="E35" s="1" t="str">
        <f>IF(COUNTIF(E36:E37,"O")&gt;=1,"O","X")</f>
        <v>X</v>
      </c>
    </row>
    <row r="36" spans="2:5" ht="19.95" customHeight="1">
      <c r="B36" s="16" t="s">
        <v>12</v>
      </c>
      <c r="C36" s="17" t="s">
        <v>50</v>
      </c>
      <c r="D36" s="18"/>
      <c r="E36" s="19" t="str">
        <f>IF(SUMIF(전체개설과목정보!$D$6:$D$1000,"*신입생 영어",전체개설과목정보!$H$6:$H$1000)&gt;0,"O","X")</f>
        <v>X</v>
      </c>
    </row>
    <row r="37" spans="2:5" ht="19.95" customHeight="1" thickBot="1">
      <c r="B37" s="20" t="s">
        <v>14</v>
      </c>
      <c r="C37" s="21" t="s">
        <v>51</v>
      </c>
      <c r="D37" s="22"/>
      <c r="E37" s="23" t="str">
        <f>IF(SUMIF(전체개설과목정보!$D$6:$D$1000,"*발표와 토론",전체개설과목정보!$H$6:$H$1000)&gt;0,"O","X")</f>
        <v>X</v>
      </c>
    </row>
    <row r="38" spans="2:5" ht="19.95" customHeight="1" thickTop="1" thickBot="1">
      <c r="B38" s="24" t="s">
        <v>16</v>
      </c>
      <c r="C38" s="25" t="s">
        <v>52</v>
      </c>
      <c r="D38" s="15" t="s">
        <v>44</v>
      </c>
      <c r="E38" s="27" t="str">
        <f>IF(COUNTIF(E39:E39,"O")&gt;0,"O","X")</f>
        <v>X</v>
      </c>
    </row>
    <row r="39" spans="2:5" ht="19.95" customHeight="1" thickBot="1">
      <c r="B39" s="20" t="s">
        <v>25</v>
      </c>
      <c r="C39" s="31" t="s">
        <v>53</v>
      </c>
      <c r="D39" s="22"/>
      <c r="E39" s="57" t="str">
        <f>IF(SUMIF(전체개설과목정보!$D$6:$D$1000,"*이공계 글쓰기 입문",전체개설과목정보!$H$6:$H$1000)&gt;0,"O","X")</f>
        <v>X</v>
      </c>
    </row>
    <row r="40" spans="2:5" ht="19.95" customHeight="1" thickTop="1"/>
    <row r="41" spans="2:5" ht="19.95" customHeight="1">
      <c r="B41" s="167" t="s">
        <v>54</v>
      </c>
      <c r="C41" s="167"/>
      <c r="D41" s="167"/>
      <c r="E41" s="167"/>
    </row>
    <row r="42" spans="2:5" ht="19.95" customHeight="1">
      <c r="B42" s="168" t="s">
        <v>1</v>
      </c>
      <c r="C42" s="168"/>
      <c r="D42" s="168"/>
      <c r="E42" s="5" t="s">
        <v>2</v>
      </c>
    </row>
    <row r="43" spans="2:5" ht="40.049999999999997" customHeight="1">
      <c r="B43" s="36" t="s">
        <v>3</v>
      </c>
      <c r="C43" s="37" t="s">
        <v>4</v>
      </c>
      <c r="D43" s="37" t="s">
        <v>5</v>
      </c>
      <c r="E43" s="38" t="s">
        <v>6</v>
      </c>
    </row>
    <row r="44" spans="2:5" ht="19.95" customHeight="1" thickBot="1">
      <c r="B44" s="9" t="s">
        <v>7</v>
      </c>
      <c r="C44" s="10" t="s">
        <v>55</v>
      </c>
      <c r="D44" s="11" t="s">
        <v>56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57</v>
      </c>
      <c r="D45" s="15" t="s">
        <v>58</v>
      </c>
      <c r="E45" s="1" t="str">
        <f>IF(COUNTIF(E46:E52,"O")&gt;=1,"O","X")</f>
        <v>X</v>
      </c>
    </row>
    <row r="46" spans="2:5" ht="19.95" customHeight="1">
      <c r="B46" s="16" t="s">
        <v>12</v>
      </c>
      <c r="C46" s="17" t="s">
        <v>59</v>
      </c>
      <c r="D46" s="169" t="s">
        <v>60</v>
      </c>
      <c r="E46" s="47" t="str">
        <f>IF(SUMIF(전체개설과목정보!$D$6:$D$1000,"*논리적 글쓰기",전체개설과목정보!$H$6:$H$1000)&gt;0,"O","X")</f>
        <v>X</v>
      </c>
    </row>
    <row r="47" spans="2:5" ht="19.95" customHeight="1">
      <c r="B47" s="28" t="s">
        <v>14</v>
      </c>
      <c r="C47" s="29" t="s">
        <v>61</v>
      </c>
      <c r="D47" s="170"/>
      <c r="E47" s="70" t="str">
        <f>IF(SUMIF(전체개설과목정보!$D$6:$D$1000,"*학술적 글쓰기",전체개설과목정보!$H$6:$H$1000)&gt;0,"O","X")</f>
        <v>X</v>
      </c>
    </row>
    <row r="48" spans="2:5" ht="19.95" customHeight="1">
      <c r="B48" s="28" t="s">
        <v>62</v>
      </c>
      <c r="C48" s="29" t="s">
        <v>63</v>
      </c>
      <c r="D48" s="171"/>
      <c r="E48" s="19" t="str">
        <f>IF(SUMIF(전체개설과목정보!$D$6:$D$1000,"*창의적 글쓰기",전체개설과목정보!$H$6:$H$1000)&gt;0,"O","X")</f>
        <v>X</v>
      </c>
    </row>
    <row r="49" spans="2:5" ht="19.95" customHeight="1">
      <c r="B49" s="28" t="s">
        <v>64</v>
      </c>
      <c r="C49" s="29" t="s">
        <v>65</v>
      </c>
      <c r="D49" s="172" t="s">
        <v>66</v>
      </c>
      <c r="E49" s="19" t="str">
        <f>IF(SUMIF(전체개설과목정보!$D$6:$D$1000,"*과학 글쓰기",전체개설과목정보!$H$6:$H$1000)&gt;0,"O","X")</f>
        <v>X</v>
      </c>
    </row>
    <row r="50" spans="2:5" ht="19.95" customHeight="1">
      <c r="B50" s="28" t="s">
        <v>67</v>
      </c>
      <c r="C50" s="29" t="s">
        <v>68</v>
      </c>
      <c r="D50" s="170"/>
      <c r="E50" s="19" t="str">
        <f>IF(SUMIF(전체개설과목정보!$D$6:$D$1000,"*고전 읽기와 글쓰기",전체개설과목정보!$H$6:$H$1000)&gt;0,"O","X")</f>
        <v>X</v>
      </c>
    </row>
    <row r="51" spans="2:5" ht="19.95" customHeight="1">
      <c r="B51" s="28" t="s">
        <v>69</v>
      </c>
      <c r="C51" s="29" t="s">
        <v>70</v>
      </c>
      <c r="D51" s="170"/>
      <c r="E51" s="19" t="str">
        <f>IF(SUMIF(전체개설과목정보!$D$6:$D$1000,"*비평적 글쓰기",전체개설과목정보!$H$6:$H$1000)&gt;0,"O","X")</f>
        <v>X</v>
      </c>
    </row>
    <row r="52" spans="2:5" ht="19.95" customHeight="1" thickBot="1">
      <c r="B52" s="20" t="s">
        <v>71</v>
      </c>
      <c r="C52" s="21" t="s">
        <v>72</v>
      </c>
      <c r="D52" s="173"/>
      <c r="E52" s="23" t="str">
        <f>IF(SUMIF(전체개설과목정보!$D$6:$D$1000,"*디지털 스토리텔링",전체개설과목정보!$H$6:$H$1000)&gt;0,"O","X")</f>
        <v>X</v>
      </c>
    </row>
    <row r="53" spans="2:5" ht="19.95" customHeight="1" thickTop="1"/>
    <row r="54" spans="2:5" ht="19.95" customHeight="1">
      <c r="B54" s="174" t="s">
        <v>73</v>
      </c>
      <c r="C54" s="163"/>
      <c r="D54" s="164"/>
      <c r="E54" s="175"/>
    </row>
    <row r="55" spans="2:5" ht="19.95" customHeight="1">
      <c r="B55" s="162" t="s">
        <v>74</v>
      </c>
      <c r="C55" s="163"/>
      <c r="D55" s="164"/>
      <c r="E55" s="42" t="s">
        <v>75</v>
      </c>
    </row>
    <row r="56" spans="2:5" ht="40.049999999999997" customHeight="1">
      <c r="B56" s="39" t="s">
        <v>76</v>
      </c>
      <c r="C56" s="40" t="s">
        <v>77</v>
      </c>
      <c r="D56" s="40" t="s">
        <v>78</v>
      </c>
      <c r="E56" s="41" t="s">
        <v>6</v>
      </c>
    </row>
    <row r="57" spans="2:5" ht="19.95" customHeight="1" thickBot="1">
      <c r="B57" s="9" t="s">
        <v>79</v>
      </c>
      <c r="C57" s="10" t="s">
        <v>89</v>
      </c>
      <c r="D57" s="11" t="s">
        <v>94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80</v>
      </c>
      <c r="D58" s="15" t="s">
        <v>90</v>
      </c>
      <c r="E58" s="33" t="str">
        <f>IF(E59&gt;=6,"O","X")</f>
        <v>X</v>
      </c>
    </row>
    <row r="59" spans="2:5" ht="19.95" customHeight="1" thickBot="1">
      <c r="B59" s="9" t="s">
        <v>12</v>
      </c>
      <c r="C59" s="10" t="s">
        <v>84</v>
      </c>
      <c r="D59" s="11"/>
      <c r="E59" s="12">
        <f>SUMPRODUCT('교양-예체능-연구'!$E$6:$E$1000,'교양-예체능-연구'!$F$6:$F$1000)</f>
        <v>0</v>
      </c>
    </row>
    <row r="60" spans="2:5" ht="40.049999999999997" customHeight="1" thickTop="1" thickBot="1">
      <c r="B60" s="13" t="s">
        <v>81</v>
      </c>
      <c r="C60" s="14" t="s">
        <v>82</v>
      </c>
      <c r="D60" s="15" t="s">
        <v>91</v>
      </c>
      <c r="E60" s="33" t="str">
        <f>IF(E61&gt;=6,"O","X")</f>
        <v>X</v>
      </c>
    </row>
    <row r="61" spans="2:5" ht="19.95" customHeight="1" thickBot="1">
      <c r="B61" s="9" t="s">
        <v>19</v>
      </c>
      <c r="C61" s="10" t="s">
        <v>85</v>
      </c>
      <c r="D61" s="11"/>
      <c r="E61" s="12">
        <f>SUMPRODUCT('교양-예체능-연구'!$K$6:$K$1000,'교양-예체능-연구'!$L$6:$L$1000)</f>
        <v>0</v>
      </c>
    </row>
    <row r="62" spans="2:5" ht="40.049999999999997" customHeight="1" thickTop="1" thickBot="1">
      <c r="B62" s="13" t="s">
        <v>83</v>
      </c>
      <c r="C62" s="14" t="s">
        <v>86</v>
      </c>
      <c r="D62" s="43" t="s">
        <v>92</v>
      </c>
      <c r="E62" s="33" t="str">
        <f>IF(E64&gt;=24,"O","X")</f>
        <v>X</v>
      </c>
    </row>
    <row r="63" spans="2:5" ht="19.95" customHeight="1">
      <c r="B63" s="44" t="s">
        <v>39</v>
      </c>
      <c r="C63" s="45" t="s">
        <v>87</v>
      </c>
      <c r="D63" s="46"/>
      <c r="E63" s="47">
        <f>SUMPRODUCT('교양-예체능-연구'!$Q$6:$Q$1000,'교양-예체능-연구'!$R$6:$R$1000)</f>
        <v>0</v>
      </c>
    </row>
    <row r="64" spans="2:5" ht="19.95" customHeight="1" thickBot="1">
      <c r="B64" s="9" t="s">
        <v>41</v>
      </c>
      <c r="C64" s="10" t="s">
        <v>88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160" t="s">
        <v>95</v>
      </c>
      <c r="C66" s="160"/>
      <c r="D66" s="160"/>
      <c r="E66" s="160"/>
      <c r="F66" s="49"/>
      <c r="G66" s="49"/>
      <c r="H66" s="49"/>
      <c r="I66" s="49"/>
      <c r="J66" s="49"/>
    </row>
    <row r="67" spans="2:10" ht="19.95" customHeight="1">
      <c r="B67" s="161" t="s">
        <v>1</v>
      </c>
      <c r="C67" s="161"/>
      <c r="D67" s="161"/>
      <c r="E67" s="50" t="s">
        <v>96</v>
      </c>
      <c r="F67" s="49"/>
      <c r="G67" s="49"/>
      <c r="H67" s="49"/>
      <c r="I67" s="49"/>
      <c r="J67" s="49"/>
    </row>
    <row r="68" spans="2:10" ht="40.049999999999997" customHeight="1">
      <c r="B68" s="58" t="s">
        <v>76</v>
      </c>
      <c r="C68" s="59" t="s">
        <v>77</v>
      </c>
      <c r="D68" s="59" t="s">
        <v>78</v>
      </c>
      <c r="E68" s="60" t="s">
        <v>6</v>
      </c>
      <c r="F68" s="49"/>
      <c r="G68" s="49"/>
      <c r="H68" s="49"/>
      <c r="I68" s="49"/>
      <c r="J68" s="49"/>
    </row>
    <row r="69" spans="2:10" ht="19.95" customHeight="1" thickBot="1">
      <c r="B69" s="9" t="s">
        <v>79</v>
      </c>
      <c r="C69" s="10" t="s">
        <v>97</v>
      </c>
      <c r="D69" s="11" t="s">
        <v>98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99</v>
      </c>
      <c r="D70" s="15" t="s">
        <v>100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12</v>
      </c>
      <c r="C71" s="55" t="s">
        <v>101</v>
      </c>
      <c r="D71" s="56"/>
      <c r="E71" s="23" t="str">
        <f>IF(SUMIF(전체개설과목정보!$D$6:$D$1000,"소프트웨어 기초와 코딩",전체개설과목정보!$H$6:$H$1000)&gt;0,"O","X")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16</v>
      </c>
      <c r="C72" s="25" t="s">
        <v>102</v>
      </c>
      <c r="D72" s="26" t="s">
        <v>103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19</v>
      </c>
      <c r="C73" s="55" t="s">
        <v>46</v>
      </c>
      <c r="D73" s="56"/>
      <c r="E73" s="23" t="str">
        <f>IF(SUMIF(전체개설과목정보!$D$6:$D$1000,"컴퓨터 프로그래밍",전체개설과목정보!$H$6:$H$1000)&gt;0,"O","X")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147" t="s">
        <v>104</v>
      </c>
      <c r="C75" s="147"/>
      <c r="D75" s="147"/>
      <c r="E75" s="147"/>
      <c r="F75" s="49"/>
      <c r="G75" s="147" t="s">
        <v>104</v>
      </c>
      <c r="H75" s="147"/>
      <c r="I75" s="147"/>
      <c r="J75" s="147"/>
    </row>
    <row r="76" spans="2:10" ht="19.95" customHeight="1">
      <c r="B76" s="151" t="s">
        <v>1</v>
      </c>
      <c r="C76" s="151"/>
      <c r="D76" s="151"/>
      <c r="E76" s="50" t="s">
        <v>105</v>
      </c>
      <c r="F76" s="49"/>
      <c r="G76" s="151" t="s">
        <v>1</v>
      </c>
      <c r="H76" s="151"/>
      <c r="I76" s="151"/>
      <c r="J76" s="50" t="s">
        <v>106</v>
      </c>
    </row>
    <row r="77" spans="2:10" ht="40.049999999999997" customHeight="1">
      <c r="B77" s="51" t="s">
        <v>76</v>
      </c>
      <c r="C77" s="52" t="s">
        <v>77</v>
      </c>
      <c r="D77" s="52" t="s">
        <v>78</v>
      </c>
      <c r="E77" s="53" t="s">
        <v>6</v>
      </c>
      <c r="F77" s="49"/>
      <c r="G77" s="51" t="s">
        <v>76</v>
      </c>
      <c r="H77" s="52" t="s">
        <v>77</v>
      </c>
      <c r="I77" s="52" t="s">
        <v>78</v>
      </c>
      <c r="J77" s="53" t="s">
        <v>6</v>
      </c>
    </row>
    <row r="78" spans="2:10" ht="19.95" customHeight="1" thickBot="1">
      <c r="B78" s="9" t="s">
        <v>79</v>
      </c>
      <c r="C78" s="10" t="s">
        <v>107</v>
      </c>
      <c r="D78" s="11" t="s">
        <v>108</v>
      </c>
      <c r="E78" s="12" t="str">
        <f>IF(OR(E79="O"),"O","X")</f>
        <v>X</v>
      </c>
      <c r="F78" s="49"/>
      <c r="G78" s="9" t="s">
        <v>79</v>
      </c>
      <c r="H78" s="10" t="s">
        <v>107</v>
      </c>
      <c r="I78" s="11" t="s">
        <v>109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110</v>
      </c>
      <c r="D79" s="15" t="s">
        <v>100</v>
      </c>
      <c r="E79" s="33" t="str">
        <f>IF(E80="O","O","X")</f>
        <v>X</v>
      </c>
      <c r="F79" s="49"/>
      <c r="G79" s="13">
        <v>1</v>
      </c>
      <c r="H79" s="14" t="s">
        <v>110</v>
      </c>
      <c r="I79" s="15" t="s">
        <v>100</v>
      </c>
      <c r="J79" s="33" t="str">
        <f>IF(J80="O","O","X")</f>
        <v>X</v>
      </c>
    </row>
    <row r="80" spans="2:10" ht="19.95" customHeight="1" thickBot="1">
      <c r="B80" s="54" t="s">
        <v>12</v>
      </c>
      <c r="C80" s="55" t="s">
        <v>111</v>
      </c>
      <c r="D80" s="56"/>
      <c r="E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  <c r="F80" s="49"/>
      <c r="G80" s="54" t="s">
        <v>12</v>
      </c>
      <c r="H80" s="55" t="s">
        <v>111</v>
      </c>
      <c r="I80" s="56"/>
      <c r="J80" s="23" t="str">
        <f>IF(SUMIF(전체개설과목정보!$D$6:$D$1000,"GIST 새내기",전체개설과목정보!$H$6:$H$1000)+SUMIF(전체개설과목정보!$D$6:$D$1000,"신입생 세미나",전체개설과목정보!$H$6:$H$1000)&gt;0,"O","X")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16</v>
      </c>
      <c r="H81" s="14" t="s">
        <v>112</v>
      </c>
      <c r="I81" s="15" t="s">
        <v>100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19</v>
      </c>
      <c r="H82" s="55" t="s">
        <v>113</v>
      </c>
      <c r="I82" s="56"/>
      <c r="J82" s="23" t="str">
        <f>IF(SUMIF(전체개설과목정보!$L$6:$L$1000,"*전공탐색*",전체개설과목정보!$P$6:$P$1000)&gt;0,"O","X")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158" t="s">
        <v>121</v>
      </c>
      <c r="C84" s="158"/>
      <c r="D84" s="158"/>
      <c r="E84" s="158"/>
      <c r="F84" s="49"/>
      <c r="G84" s="158" t="s">
        <v>121</v>
      </c>
      <c r="H84" s="158"/>
      <c r="I84" s="158"/>
      <c r="J84" s="158"/>
    </row>
    <row r="85" spans="2:10" ht="19.95" customHeight="1">
      <c r="B85" s="159" t="s">
        <v>1</v>
      </c>
      <c r="C85" s="159"/>
      <c r="D85" s="159"/>
      <c r="E85" s="50" t="s">
        <v>114</v>
      </c>
      <c r="F85" s="49"/>
      <c r="G85" s="159" t="s">
        <v>1</v>
      </c>
      <c r="H85" s="159"/>
      <c r="I85" s="159"/>
      <c r="J85" s="50" t="s">
        <v>115</v>
      </c>
    </row>
    <row r="86" spans="2:10" ht="40.049999999999997" customHeight="1">
      <c r="B86" s="61" t="s">
        <v>76</v>
      </c>
      <c r="C86" s="62" t="s">
        <v>77</v>
      </c>
      <c r="D86" s="62" t="s">
        <v>78</v>
      </c>
      <c r="E86" s="63" t="s">
        <v>6</v>
      </c>
      <c r="F86" s="49"/>
      <c r="G86" s="61" t="s">
        <v>76</v>
      </c>
      <c r="H86" s="62" t="s">
        <v>77</v>
      </c>
      <c r="I86" s="62" t="s">
        <v>78</v>
      </c>
      <c r="J86" s="63" t="s">
        <v>6</v>
      </c>
    </row>
    <row r="87" spans="2:10" ht="19.95" customHeight="1" thickBot="1">
      <c r="B87" s="9" t="s">
        <v>79</v>
      </c>
      <c r="C87" s="10" t="s">
        <v>116</v>
      </c>
      <c r="D87" s="11" t="s">
        <v>109</v>
      </c>
      <c r="E87" s="12" t="str">
        <f>IF(AND(E88="O",E90="O"),"O","X")</f>
        <v>X</v>
      </c>
      <c r="F87" s="49"/>
      <c r="G87" s="9" t="s">
        <v>79</v>
      </c>
      <c r="H87" s="10" t="s">
        <v>116</v>
      </c>
      <c r="I87" s="11" t="s">
        <v>109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117</v>
      </c>
      <c r="D88" s="15" t="s">
        <v>123</v>
      </c>
      <c r="E88" s="33" t="str">
        <f>IF(E89&gt;=4,"O","X")</f>
        <v>X</v>
      </c>
      <c r="F88" s="49"/>
      <c r="G88" s="13">
        <v>1</v>
      </c>
      <c r="H88" s="14" t="s">
        <v>117</v>
      </c>
      <c r="I88" s="15" t="s">
        <v>144</v>
      </c>
      <c r="J88" s="33" t="str">
        <f>IF(J89&gt;=2,"O","X")</f>
        <v>X</v>
      </c>
    </row>
    <row r="89" spans="2:10" ht="19.95" customHeight="1" thickBot="1">
      <c r="B89" s="54" t="s">
        <v>12</v>
      </c>
      <c r="C89" s="55" t="s">
        <v>118</v>
      </c>
      <c r="D89" s="56"/>
      <c r="E89" s="57">
        <f>SUMIF('교양-예체능-연구'!$U$6:$U$1000,"02??",'교양-예체능-연구'!$X$6:$X$1000)</f>
        <v>0</v>
      </c>
      <c r="F89" s="49"/>
      <c r="G89" s="54" t="s">
        <v>12</v>
      </c>
      <c r="H89" s="55" t="s">
        <v>118</v>
      </c>
      <c r="I89" s="56"/>
      <c r="J89" s="57">
        <f>SUMIF('교양-예체능-연구'!$U$6:$U$1000,"02??",'교양-예체능-연구'!$X$6:$X$1000)</f>
        <v>0</v>
      </c>
    </row>
    <row r="90" spans="2:10" ht="19.95" customHeight="1" thickTop="1" thickBot="1">
      <c r="B90" s="13" t="s">
        <v>16</v>
      </c>
      <c r="C90" s="14" t="s">
        <v>119</v>
      </c>
      <c r="D90" s="15" t="s">
        <v>122</v>
      </c>
      <c r="E90" s="33" t="str">
        <f>IF(E91&gt;=4,"O","X")</f>
        <v>X</v>
      </c>
      <c r="F90" s="49"/>
      <c r="G90" s="13" t="s">
        <v>16</v>
      </c>
      <c r="H90" s="14" t="s">
        <v>119</v>
      </c>
      <c r="I90" s="15" t="s">
        <v>124</v>
      </c>
      <c r="J90" s="33" t="str">
        <f>IF(E91&gt;=2,"O","X")</f>
        <v>X</v>
      </c>
    </row>
    <row r="91" spans="2:10" ht="19.95" customHeight="1" thickBot="1">
      <c r="B91" s="54" t="s">
        <v>19</v>
      </c>
      <c r="C91" s="55" t="s">
        <v>120</v>
      </c>
      <c r="D91" s="56"/>
      <c r="E91" s="57">
        <f>SUMIF('교양-예체능-연구'!$U$6:$U$1000,"01??",'교양-예체능-연구'!$X$6:$X$1000)</f>
        <v>0</v>
      </c>
      <c r="F91" s="49"/>
      <c r="G91" s="54" t="s">
        <v>19</v>
      </c>
      <c r="H91" s="55" t="s">
        <v>120</v>
      </c>
      <c r="I91" s="56"/>
      <c r="J91" s="57">
        <f>SUMIF('교양-예체능-연구'!$U$6:$U$1000,"01??",'교양-예체능-연구'!$X$6:$X$1000)</f>
        <v>0</v>
      </c>
    </row>
    <row r="92" spans="2:10" ht="19.95" customHeight="1" thickTop="1"/>
    <row r="93" spans="2:10" ht="19.95" customHeight="1">
      <c r="B93" s="155" t="s">
        <v>143</v>
      </c>
      <c r="C93" s="155"/>
      <c r="D93" s="155"/>
      <c r="E93" s="155"/>
      <c r="G93" s="155" t="s">
        <v>143</v>
      </c>
      <c r="H93" s="155"/>
      <c r="I93" s="155"/>
      <c r="J93" s="155"/>
    </row>
    <row r="94" spans="2:10" ht="19.95" customHeight="1">
      <c r="B94" s="154" t="s">
        <v>125</v>
      </c>
      <c r="C94" s="154"/>
      <c r="D94" s="154"/>
      <c r="E94" s="5" t="s">
        <v>142</v>
      </c>
      <c r="G94" s="154" t="s">
        <v>125</v>
      </c>
      <c r="H94" s="154"/>
      <c r="I94" s="154"/>
      <c r="J94" s="64" t="s">
        <v>141</v>
      </c>
    </row>
    <row r="95" spans="2:10" ht="40.049999999999997" customHeight="1">
      <c r="B95" s="67" t="s">
        <v>126</v>
      </c>
      <c r="C95" s="65" t="s">
        <v>77</v>
      </c>
      <c r="D95" s="65" t="s">
        <v>78</v>
      </c>
      <c r="E95" s="66" t="s">
        <v>6</v>
      </c>
      <c r="G95" s="67" t="s">
        <v>126</v>
      </c>
      <c r="H95" s="65" t="s">
        <v>77</v>
      </c>
      <c r="I95" s="65" t="s">
        <v>78</v>
      </c>
      <c r="J95" s="66" t="s">
        <v>6</v>
      </c>
    </row>
    <row r="96" spans="2:10" ht="19.95" customHeight="1" thickBot="1">
      <c r="B96" s="9" t="s">
        <v>127</v>
      </c>
      <c r="C96" s="10" t="s">
        <v>128</v>
      </c>
      <c r="D96" s="35" t="s">
        <v>129</v>
      </c>
      <c r="E96" s="12" t="str">
        <f>IF(AND(E97="O"),"O","X")</f>
        <v>X</v>
      </c>
      <c r="G96" s="9" t="s">
        <v>127</v>
      </c>
      <c r="H96" s="10" t="s">
        <v>128</v>
      </c>
      <c r="I96" s="35" t="s">
        <v>135</v>
      </c>
      <c r="J96" s="12" t="str">
        <f>IF(AND(J97="O",J99="O"),"O","X")</f>
        <v>X</v>
      </c>
    </row>
    <row r="97" spans="2:10" ht="19.95" customHeight="1" thickTop="1" thickBot="1">
      <c r="B97" s="13" t="s">
        <v>130</v>
      </c>
      <c r="C97" s="14" t="s">
        <v>131</v>
      </c>
      <c r="D97" s="68" t="s">
        <v>134</v>
      </c>
      <c r="E97" s="33" t="str">
        <f>IF(E98=2,"O","X")</f>
        <v>X</v>
      </c>
      <c r="G97" s="13" t="s">
        <v>130</v>
      </c>
      <c r="H97" s="14" t="s">
        <v>131</v>
      </c>
      <c r="I97" s="68" t="s">
        <v>134</v>
      </c>
      <c r="J97" s="33" t="str">
        <f>IF(J98=2,"O","X")</f>
        <v>X</v>
      </c>
    </row>
    <row r="98" spans="2:10" ht="19.95" customHeight="1" thickBot="1">
      <c r="B98" s="9" t="s">
        <v>132</v>
      </c>
      <c r="C98" s="10" t="s">
        <v>133</v>
      </c>
      <c r="D98" s="35"/>
      <c r="E98" s="23">
        <f>SUMIF(전체개설과목정보!$L$6:$L$1000,"*콜로퀴움*",전체개설과목정보!$P$6:$P$1000)</f>
        <v>0</v>
      </c>
      <c r="G98" s="9" t="s">
        <v>132</v>
      </c>
      <c r="H98" s="10" t="s">
        <v>133</v>
      </c>
      <c r="I98" s="35"/>
      <c r="J98" s="23">
        <f>SUMIF(전체개설과목정보!$L$6:$L$1000,"*콜로퀴움*",전체개설과목정보!$P$6:$P$1000)</f>
        <v>0</v>
      </c>
    </row>
    <row r="99" spans="2:10" ht="19.95" customHeight="1" thickTop="1" thickBot="1">
      <c r="G99" s="13" t="s">
        <v>136</v>
      </c>
      <c r="H99" s="14" t="s">
        <v>138</v>
      </c>
      <c r="I99" s="68" t="s">
        <v>140</v>
      </c>
      <c r="J99" s="33" t="str">
        <f>IF(J100&lt;&gt;0,"O","X")</f>
        <v>X</v>
      </c>
    </row>
    <row r="100" spans="2:10" ht="19.95" customHeight="1" thickBot="1">
      <c r="G100" s="9" t="s">
        <v>137</v>
      </c>
      <c r="H100" s="10" t="s">
        <v>139</v>
      </c>
      <c r="I100" s="35"/>
      <c r="J100" s="23">
        <f>SUMIF(전체개설과목정보!$L$6:$L$1000,"과학기술과 경제",전체개설과목정보!$P$6:$P$1000)</f>
        <v>0</v>
      </c>
    </row>
    <row r="101" spans="2:10" ht="19.95" customHeight="1" thickTop="1"/>
    <row r="102" spans="2:10" ht="19.95" customHeight="1">
      <c r="B102" s="156" t="s">
        <v>255</v>
      </c>
      <c r="C102" s="156"/>
      <c r="D102" s="156"/>
      <c r="E102" s="156"/>
    </row>
    <row r="103" spans="2:10" ht="19.95" customHeight="1">
      <c r="B103" s="157" t="s">
        <v>1</v>
      </c>
      <c r="C103" s="157"/>
      <c r="D103" s="157"/>
      <c r="E103" s="93" t="s">
        <v>2</v>
      </c>
    </row>
    <row r="104" spans="2:10" ht="40.049999999999997" customHeight="1">
      <c r="B104" s="95" t="s">
        <v>3</v>
      </c>
      <c r="C104" s="96" t="s">
        <v>77</v>
      </c>
      <c r="D104" s="96" t="s">
        <v>78</v>
      </c>
      <c r="E104" s="97" t="s">
        <v>6</v>
      </c>
    </row>
    <row r="105" spans="2:10" ht="19.95" customHeight="1" thickBot="1">
      <c r="B105" s="9" t="s">
        <v>7</v>
      </c>
      <c r="C105" s="10" t="s">
        <v>256</v>
      </c>
      <c r="D105" s="35" t="s">
        <v>108</v>
      </c>
      <c r="E105" s="12" t="str">
        <f>IF(AND(E106="O"),"O","X")</f>
        <v>X</v>
      </c>
    </row>
    <row r="106" spans="2:10" ht="19.95" customHeight="1" thickTop="1" thickBot="1">
      <c r="B106" s="13" t="s">
        <v>29</v>
      </c>
      <c r="C106" s="14" t="s">
        <v>257</v>
      </c>
      <c r="D106" s="68" t="s">
        <v>258</v>
      </c>
      <c r="E106" s="33" t="str">
        <f>IF(AND(E107="O", E108="O"),"O","X")</f>
        <v>X</v>
      </c>
    </row>
    <row r="107" spans="2:10" s="92" customFormat="1" ht="19.95" customHeight="1">
      <c r="B107" s="44" t="s">
        <v>259</v>
      </c>
      <c r="C107" s="45" t="s">
        <v>260</v>
      </c>
      <c r="D107" s="46"/>
      <c r="E107" s="47" t="str">
        <f>IF(SUMIF('교양-예체능-연구'!AA6:AA1000,"9102",'교양-예체능-연구'!$AD$6:$AD$1000)&gt;0,"O","X")</f>
        <v>X</v>
      </c>
    </row>
    <row r="108" spans="2:10" ht="19.95" customHeight="1" thickBot="1">
      <c r="B108" s="20" t="s">
        <v>14</v>
      </c>
      <c r="C108" s="21" t="s">
        <v>261</v>
      </c>
      <c r="D108" s="22"/>
      <c r="E108" s="23" t="str">
        <f>IF(SUMIF('교양-예체능-연구'!AA6:AA1000,"9103",'교양-예체능-연구'!$AD$6:$AD$1000)&gt;0,"O","X")</f>
        <v>X</v>
      </c>
    </row>
    <row r="109" spans="2:10" ht="19.95" customHeight="1" thickTop="1"/>
    <row r="110" spans="2:10" ht="19.95" customHeight="1">
      <c r="B110" s="147" t="s">
        <v>263</v>
      </c>
      <c r="C110" s="148"/>
      <c r="D110" s="149"/>
      <c r="E110" s="150"/>
    </row>
    <row r="111" spans="2:10">
      <c r="B111" s="151" t="s">
        <v>74</v>
      </c>
      <c r="C111" s="152"/>
      <c r="D111" s="153"/>
      <c r="E111" s="98" t="s">
        <v>2</v>
      </c>
    </row>
    <row r="112" spans="2:10" ht="34.799999999999997">
      <c r="B112" s="99" t="s">
        <v>76</v>
      </c>
      <c r="C112" s="100" t="s">
        <v>77</v>
      </c>
      <c r="D112" s="100" t="s">
        <v>78</v>
      </c>
      <c r="E112" s="101" t="s">
        <v>6</v>
      </c>
    </row>
    <row r="113" spans="2:5" ht="18" thickBot="1">
      <c r="B113" s="9" t="s">
        <v>79</v>
      </c>
      <c r="C113" s="10" t="s">
        <v>264</v>
      </c>
      <c r="D113" s="35" t="s">
        <v>265</v>
      </c>
      <c r="E113" s="12" t="str">
        <f>IF(AND(E114="O"),"O","X")</f>
        <v>X</v>
      </c>
    </row>
    <row r="114" spans="2:5" ht="18.600000000000001" thickTop="1" thickBot="1">
      <c r="B114" s="13" t="s">
        <v>266</v>
      </c>
      <c r="C114" s="14" t="s">
        <v>267</v>
      </c>
      <c r="D114" s="68" t="s">
        <v>268</v>
      </c>
      <c r="E114" s="33" t="str">
        <f>IF(E115&gt;=2,"O","X")</f>
        <v>X</v>
      </c>
    </row>
    <row r="115" spans="2:5" ht="18" thickBot="1">
      <c r="B115" s="9" t="s">
        <v>262</v>
      </c>
      <c r="C115" s="10" t="s">
        <v>267</v>
      </c>
      <c r="D115" s="35"/>
      <c r="E115" s="23">
        <f>ROUND(IFERROR(AVERAGE(수강과목요약!I6:I1000),0),2)</f>
        <v>0</v>
      </c>
    </row>
    <row r="116" spans="2:5" ht="18" thickTop="1"/>
  </sheetData>
  <mergeCells count="30">
    <mergeCell ref="B66:E66"/>
    <mergeCell ref="B67:D67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  <mergeCell ref="B84:E84"/>
    <mergeCell ref="G84:J84"/>
    <mergeCell ref="B85:D85"/>
    <mergeCell ref="G85:I85"/>
    <mergeCell ref="B75:E75"/>
    <mergeCell ref="G75:J75"/>
    <mergeCell ref="B76:D76"/>
    <mergeCell ref="G76:I76"/>
    <mergeCell ref="B110:E110"/>
    <mergeCell ref="B111:D111"/>
    <mergeCell ref="B94:D94"/>
    <mergeCell ref="G93:J93"/>
    <mergeCell ref="G94:I94"/>
    <mergeCell ref="B93:E93"/>
    <mergeCell ref="B102:E102"/>
    <mergeCell ref="B103:D10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sheetPr codeName="Sheet3"/>
  <dimension ref="B1:O99"/>
  <sheetViews>
    <sheetView showGridLines="0" zoomScaleNormal="100" workbookViewId="0"/>
  </sheetViews>
  <sheetFormatPr defaultRowHeight="19.95" customHeight="1"/>
  <cols>
    <col min="1" max="1" width="1" customWidth="1"/>
    <col min="2" max="2" width="4.19921875" customWidth="1"/>
    <col min="3" max="3" width="25.69921875" customWidth="1"/>
    <col min="4" max="4" width="40.69921875" customWidth="1"/>
    <col min="5" max="5" width="7.69921875" customWidth="1"/>
    <col min="6" max="6" width="3" customWidth="1"/>
    <col min="7" max="7" width="4.19921875" customWidth="1"/>
    <col min="8" max="8" width="25.69921875" customWidth="1"/>
    <col min="9" max="9" width="40.69921875" customWidth="1"/>
    <col min="10" max="10" width="7.69921875" customWidth="1"/>
    <col min="11" max="11" width="3" customWidth="1"/>
    <col min="12" max="12" width="4.19921875" customWidth="1"/>
    <col min="13" max="13" width="25.69921875" customWidth="1"/>
    <col min="14" max="14" width="40.69921875" customWidth="1"/>
    <col min="15" max="15" width="7.69921875" customWidth="1"/>
  </cols>
  <sheetData>
    <row r="1" spans="2:10" ht="7.8" customHeight="1"/>
    <row r="2" spans="2:10" ht="19.95" customHeight="1">
      <c r="B2" s="160" t="s">
        <v>145</v>
      </c>
      <c r="C2" s="160"/>
      <c r="D2" s="160"/>
      <c r="E2" s="160"/>
      <c r="G2" s="160" t="s">
        <v>145</v>
      </c>
      <c r="H2" s="160"/>
      <c r="I2" s="160"/>
      <c r="J2" s="160"/>
    </row>
    <row r="3" spans="2:10" ht="19.95" customHeight="1">
      <c r="B3" s="161" t="s">
        <v>1</v>
      </c>
      <c r="C3" s="161"/>
      <c r="D3" s="161"/>
      <c r="E3" s="84" t="s">
        <v>151</v>
      </c>
      <c r="G3" s="161" t="s">
        <v>1</v>
      </c>
      <c r="H3" s="161"/>
      <c r="I3" s="161"/>
      <c r="J3" s="84" t="s">
        <v>96</v>
      </c>
    </row>
    <row r="4" spans="2:10" ht="40.049999999999997" customHeight="1">
      <c r="B4" s="58" t="s">
        <v>76</v>
      </c>
      <c r="C4" s="59" t="s">
        <v>77</v>
      </c>
      <c r="D4" s="59" t="s">
        <v>78</v>
      </c>
      <c r="E4" s="60" t="s">
        <v>6</v>
      </c>
      <c r="G4" s="58" t="s">
        <v>76</v>
      </c>
      <c r="H4" s="59" t="s">
        <v>77</v>
      </c>
      <c r="I4" s="59" t="s">
        <v>78</v>
      </c>
      <c r="J4" s="60" t="s">
        <v>6</v>
      </c>
    </row>
    <row r="5" spans="2:10" ht="19.95" customHeight="1" thickBot="1">
      <c r="B5" s="9" t="s">
        <v>79</v>
      </c>
      <c r="C5" s="10" t="s">
        <v>146</v>
      </c>
      <c r="D5" s="11" t="s">
        <v>159</v>
      </c>
      <c r="E5" s="12" t="str">
        <f>IF(AND(E6="O",E9="O"),"O","X")</f>
        <v>X</v>
      </c>
      <c r="G5" s="9" t="s">
        <v>79</v>
      </c>
      <c r="H5" s="10" t="s">
        <v>146</v>
      </c>
      <c r="I5" s="11" t="s">
        <v>159</v>
      </c>
      <c r="J5" s="12" t="str">
        <f>IF(AND(J6="O",J9="O"),"O","X")</f>
        <v>X</v>
      </c>
    </row>
    <row r="6" spans="2:10" ht="19.95" customHeight="1" thickTop="1" thickBot="1">
      <c r="B6" s="13">
        <v>1</v>
      </c>
      <c r="C6" s="14" t="s">
        <v>147</v>
      </c>
      <c r="D6" s="15" t="s">
        <v>174</v>
      </c>
      <c r="E6" s="33" t="str">
        <f>IF(COUNTIF(E7:E8,"O")&gt;0,"O","X")</f>
        <v>X</v>
      </c>
      <c r="G6" s="13">
        <v>1</v>
      </c>
      <c r="H6" s="14" t="s">
        <v>147</v>
      </c>
      <c r="I6" s="15" t="s">
        <v>174</v>
      </c>
      <c r="J6" s="33" t="str">
        <f>IF(COUNTIF(J7:J8,"O")=COUNTA(J7:J8),"O","X")</f>
        <v>X</v>
      </c>
    </row>
    <row r="7" spans="2:10" ht="19.95" customHeight="1">
      <c r="B7" s="44" t="s">
        <v>148</v>
      </c>
      <c r="C7" s="45" t="s">
        <v>149</v>
      </c>
      <c r="D7" s="85"/>
      <c r="E7" s="47" t="str">
        <f>IF(SUMIF(기초및전공과목!$P$6:$P$1000,"전자공학*",기초및전공과목!$R$6:$R$1000)&gt;0,"O","X")</f>
        <v>X</v>
      </c>
      <c r="G7" s="44" t="s">
        <v>148</v>
      </c>
      <c r="H7" s="45" t="s">
        <v>149</v>
      </c>
      <c r="I7" s="85"/>
      <c r="J7" s="47" t="str">
        <f>IF(SUMIF(기초및전공과목!$P$6:$P$1000,"전자공학*",기초및전공과목!$R$6:$R$1000)&gt;0,"O","X")</f>
        <v>X</v>
      </c>
    </row>
    <row r="8" spans="2:10" ht="19.95" customHeight="1" thickBot="1">
      <c r="B8" s="9" t="s">
        <v>14</v>
      </c>
      <c r="C8" s="10" t="s">
        <v>150</v>
      </c>
      <c r="D8" s="11"/>
      <c r="E8" s="19" t="str">
        <f>IF(SUMIF(기초및전공과목!$P$6:$P$1000,"컴퓨터 시스템 이론 및 실험",기초및전공과목!$R$6:$R$1000)&gt;0,"O","X")</f>
        <v>X</v>
      </c>
      <c r="G8" s="9" t="s">
        <v>14</v>
      </c>
      <c r="H8" s="10" t="s">
        <v>150</v>
      </c>
      <c r="I8" s="11"/>
      <c r="J8" s="19" t="str">
        <f>IF(SUMIF(기초및전공과목!$P$6:$P$1000,"컴퓨터 시스템 이론 및 실험",기초및전공과목!$R$6:$R$1000)&gt;0,"O","X")</f>
        <v>X</v>
      </c>
    </row>
    <row r="9" spans="2:10" ht="19.95" customHeight="1" thickTop="1" thickBot="1">
      <c r="B9" s="24" t="s">
        <v>16</v>
      </c>
      <c r="C9" s="25" t="s">
        <v>152</v>
      </c>
      <c r="D9" s="26" t="s">
        <v>254</v>
      </c>
      <c r="E9" s="33" t="str">
        <f>IF(E10&gt;=30,"O","X")</f>
        <v>X</v>
      </c>
      <c r="G9" s="24" t="s">
        <v>16</v>
      </c>
      <c r="H9" s="25" t="s">
        <v>152</v>
      </c>
      <c r="I9" s="26" t="s">
        <v>156</v>
      </c>
      <c r="J9" s="33" t="str">
        <f>IF(J10&gt;=36,"O","X")</f>
        <v>X</v>
      </c>
    </row>
    <row r="10" spans="2:10" ht="19.95" customHeight="1" thickBot="1">
      <c r="B10" s="54" t="s">
        <v>19</v>
      </c>
      <c r="C10" s="55" t="s">
        <v>153</v>
      </c>
      <c r="D10" s="56" t="s">
        <v>154</v>
      </c>
      <c r="E10" s="23">
        <f>IF(SUMPRODUCT(기초및전공과목!$Q$6:$Q$1000,기초및전공과목!$R$6:$R$1000)&gt;36, 36, SUMPRODUCT(기초및전공과목!$Q$6:$Q$1000,기초및전공과목!$R$6:$R$1000))</f>
        <v>0</v>
      </c>
      <c r="G10" s="54" t="s">
        <v>19</v>
      </c>
      <c r="H10" s="55" t="s">
        <v>153</v>
      </c>
      <c r="I10" s="56" t="s">
        <v>155</v>
      </c>
      <c r="J10" s="23">
        <f>IF(SUMPRODUCT(기초및전공과목!$Q$6:$Q$1000,기초및전공과목!$R$6:$R$1000)&gt;42, 42, SUMPRODUCT(기초및전공과목!$Q$6:$Q$1000,기초및전공과목!$R$6:$R$1000))</f>
        <v>0</v>
      </c>
    </row>
    <row r="11" spans="2:10" ht="19.95" customHeight="1" thickTop="1"/>
    <row r="12" spans="2:10" ht="19.95" customHeight="1">
      <c r="B12" s="160" t="s">
        <v>157</v>
      </c>
      <c r="C12" s="160"/>
      <c r="D12" s="160"/>
      <c r="E12" s="160"/>
      <c r="G12" s="160" t="s">
        <v>157</v>
      </c>
      <c r="H12" s="160"/>
      <c r="I12" s="160"/>
      <c r="J12" s="160"/>
    </row>
    <row r="13" spans="2:10" ht="19.95" customHeight="1">
      <c r="B13" s="161" t="s">
        <v>1</v>
      </c>
      <c r="C13" s="161"/>
      <c r="D13" s="161"/>
      <c r="E13" s="84" t="s">
        <v>151</v>
      </c>
      <c r="G13" s="161" t="s">
        <v>1</v>
      </c>
      <c r="H13" s="161"/>
      <c r="I13" s="161"/>
      <c r="J13" s="84" t="s">
        <v>96</v>
      </c>
    </row>
    <row r="14" spans="2:10" ht="40.049999999999997" customHeight="1">
      <c r="B14" s="58" t="s">
        <v>76</v>
      </c>
      <c r="C14" s="59" t="s">
        <v>77</v>
      </c>
      <c r="D14" s="59" t="s">
        <v>78</v>
      </c>
      <c r="E14" s="60" t="s">
        <v>6</v>
      </c>
      <c r="G14" s="58" t="s">
        <v>76</v>
      </c>
      <c r="H14" s="59" t="s">
        <v>77</v>
      </c>
      <c r="I14" s="59" t="s">
        <v>78</v>
      </c>
      <c r="J14" s="60" t="s">
        <v>6</v>
      </c>
    </row>
    <row r="15" spans="2:10" ht="19.95" customHeight="1" thickBot="1">
      <c r="B15" s="9" t="s">
        <v>79</v>
      </c>
      <c r="C15" s="10" t="s">
        <v>158</v>
      </c>
      <c r="D15" s="11" t="s">
        <v>159</v>
      </c>
      <c r="E15" s="12" t="str">
        <f>IF(AND(E16="O",E21="O"),"O","X")</f>
        <v>X</v>
      </c>
      <c r="G15" s="9" t="s">
        <v>79</v>
      </c>
      <c r="H15" s="10" t="s">
        <v>158</v>
      </c>
      <c r="I15" s="11" t="s">
        <v>159</v>
      </c>
      <c r="J15" s="12" t="str">
        <f>IF(AND(J16="O",J23="O"),"O","X")</f>
        <v>X</v>
      </c>
    </row>
    <row r="16" spans="2:10" ht="19.95" customHeight="1" thickTop="1" thickBot="1">
      <c r="B16" s="13">
        <v>1</v>
      </c>
      <c r="C16" s="14" t="s">
        <v>167</v>
      </c>
      <c r="D16" s="15" t="s">
        <v>160</v>
      </c>
      <c r="E16" s="33" t="str">
        <f>IF(COUNTIF(E17:E20,"O")=COUNTA(E17:E20),"O","X")</f>
        <v>X</v>
      </c>
      <c r="G16" s="13">
        <v>1</v>
      </c>
      <c r="H16" s="14" t="s">
        <v>167</v>
      </c>
      <c r="I16" s="15" t="s">
        <v>160</v>
      </c>
      <c r="J16" s="33" t="str">
        <f>IF(COUNTIF(J17:J22,"O")=COUNTA(J17:J22),"O","X")</f>
        <v>X</v>
      </c>
    </row>
    <row r="17" spans="2:15" ht="19.95" customHeight="1">
      <c r="B17" s="44" t="s">
        <v>148</v>
      </c>
      <c r="C17" s="45" t="s">
        <v>161</v>
      </c>
      <c r="D17" s="85"/>
      <c r="E17" s="47" t="str">
        <f>IF(SUMIF(기초및전공과목!$V$6:$V$1000,"재료과학",기초및전공과목!$X$6:$X$1000)&gt;0,"O","X")</f>
        <v>X</v>
      </c>
      <c r="G17" s="44" t="s">
        <v>148</v>
      </c>
      <c r="H17" s="45" t="s">
        <v>161</v>
      </c>
      <c r="I17" s="85"/>
      <c r="J17" s="47" t="str">
        <f>IF(SUMIF(기초및전공과목!$V$6:$V$1000,"재료과학",기초및전공과목!$X$6:$X$1000)&gt;0,"O","X")</f>
        <v>X</v>
      </c>
    </row>
    <row r="18" spans="2:15" ht="19.95" customHeight="1">
      <c r="B18" s="28" t="s">
        <v>165</v>
      </c>
      <c r="C18" s="29" t="s">
        <v>162</v>
      </c>
      <c r="D18" s="86"/>
      <c r="E18" s="70" t="str">
        <f>IF(SUMIF(기초및전공과목!$V$6:$V$1000,"고분자과학",기초및전공과목!$X$6:$X$1000)&gt;0,"O","X")</f>
        <v>X</v>
      </c>
      <c r="G18" s="16" t="s">
        <v>165</v>
      </c>
      <c r="H18" s="17" t="s">
        <v>170</v>
      </c>
      <c r="I18" s="87"/>
      <c r="J18" s="70" t="str">
        <f>IF(SUMIF(기초및전공과목!$V$6:$V$1000,"열역학",기초및전공과목!$X$6:$X$1000)&gt;0,"O","X")</f>
        <v>X</v>
      </c>
    </row>
    <row r="19" spans="2:15" ht="19.95" customHeight="1">
      <c r="B19" s="28" t="s">
        <v>166</v>
      </c>
      <c r="C19" s="29" t="s">
        <v>163</v>
      </c>
      <c r="D19" s="86"/>
      <c r="E19" s="70" t="str">
        <f>IF(SUMIF(기초및전공과목!$V$6:$V$1000,"전자재료실험",기초및전공과목!$X$6:$X$1000)&gt;0,"O","X")</f>
        <v>X</v>
      </c>
      <c r="G19" s="16" t="s">
        <v>166</v>
      </c>
      <c r="H19" s="17" t="s">
        <v>171</v>
      </c>
      <c r="I19" s="87"/>
      <c r="J19" s="70" t="str">
        <f>IF(SUMIF(기초및전공과목!$V$6:$V$1000,"유기재료화학",기초및전공과목!$X$6:$X$1000)&gt;0,"O","X")</f>
        <v>X</v>
      </c>
    </row>
    <row r="20" spans="2:15" ht="19.95" customHeight="1" thickBot="1">
      <c r="B20" s="9" t="s">
        <v>64</v>
      </c>
      <c r="C20" s="10" t="s">
        <v>164</v>
      </c>
      <c r="D20" s="88"/>
      <c r="E20" s="23" t="str">
        <f>IF(SUMIF(기초및전공과목!$V$6:$V$1000,"유기재료실험",기초및전공과목!$X$6:$X$1000)&gt;0,"O","X")</f>
        <v>X</v>
      </c>
      <c r="G20" s="28" t="s">
        <v>172</v>
      </c>
      <c r="H20" s="29" t="s">
        <v>162</v>
      </c>
      <c r="I20" s="86"/>
      <c r="J20" s="70" t="str">
        <f>IF(SUMIF(기초및전공과목!$V$6:$V$1000,"고분자과학",기초및전공과목!$X$6:$X$1000)&gt;0,"O","X")</f>
        <v>X</v>
      </c>
    </row>
    <row r="21" spans="2:15" ht="19.95" customHeight="1" thickTop="1" thickBot="1">
      <c r="B21" s="24" t="s">
        <v>16</v>
      </c>
      <c r="C21" s="25" t="s">
        <v>168</v>
      </c>
      <c r="D21" s="26" t="s">
        <v>254</v>
      </c>
      <c r="E21" s="33" t="str">
        <f>IF(E22&gt;=30,"O","X")</f>
        <v>X</v>
      </c>
      <c r="G21" s="28" t="s">
        <v>173</v>
      </c>
      <c r="H21" s="29" t="s">
        <v>163</v>
      </c>
      <c r="I21" s="86"/>
      <c r="J21" s="70" t="str">
        <f>IF(SUMIF(기초및전공과목!$V$6:$V$1000,"전자재료실험",기초및전공과목!$X$6:$X$1000)&gt;0,"O","X")</f>
        <v>X</v>
      </c>
    </row>
    <row r="22" spans="2:15" ht="19.95" customHeight="1" thickBot="1">
      <c r="B22" s="54" t="s">
        <v>19</v>
      </c>
      <c r="C22" s="55" t="s">
        <v>169</v>
      </c>
      <c r="D22" s="56" t="s">
        <v>154</v>
      </c>
      <c r="E22" s="23">
        <f>IF(SUMPRODUCT(기초및전공과목!$W$6:$W$1000,기초및전공과목!$X$6:$X$1000)&gt;36, 36, SUMPRODUCT(기초및전공과목!$W$6:$W$1000,기초및전공과목!$X$6:$X$1000))</f>
        <v>0</v>
      </c>
      <c r="G22" s="9" t="s">
        <v>69</v>
      </c>
      <c r="H22" s="10" t="s">
        <v>164</v>
      </c>
      <c r="I22" s="11"/>
      <c r="J22" s="23" t="str">
        <f>IF(SUMIF(기초및전공과목!$V$6:$V$1000,"유기재료실험",기초및전공과목!$X$6:$X$1000)&gt;0,"O","X")</f>
        <v>X</v>
      </c>
    </row>
    <row r="23" spans="2:15" ht="19.95" customHeight="1" thickTop="1" thickBot="1">
      <c r="G23" s="24" t="s">
        <v>16</v>
      </c>
      <c r="H23" s="25" t="s">
        <v>168</v>
      </c>
      <c r="I23" s="26" t="s">
        <v>254</v>
      </c>
      <c r="J23" s="33" t="str">
        <f>IF(J24&gt;=30,"O","X")</f>
        <v>X</v>
      </c>
    </row>
    <row r="24" spans="2:15" ht="19.95" customHeight="1" thickBot="1">
      <c r="G24" s="54" t="s">
        <v>19</v>
      </c>
      <c r="H24" s="55" t="s">
        <v>169</v>
      </c>
      <c r="I24" s="56" t="s">
        <v>155</v>
      </c>
      <c r="J24" s="23">
        <f>IF(SUMPRODUCT(기초및전공과목!$W$6:$W$1000,기초및전공과목!$X$6:$X$1000)&gt;42, 42, SUMPRODUCT(기초및전공과목!$W$6:$W$1000,기초및전공과목!$X$6:$X$1000))</f>
        <v>0</v>
      </c>
    </row>
    <row r="25" spans="2:15" ht="19.95" customHeight="1" thickTop="1"/>
    <row r="26" spans="2:15" ht="19.95" customHeight="1">
      <c r="B26" s="160" t="s">
        <v>175</v>
      </c>
      <c r="C26" s="160"/>
      <c r="D26" s="160"/>
      <c r="E26" s="160"/>
      <c r="G26" s="160" t="s">
        <v>175</v>
      </c>
      <c r="H26" s="160"/>
      <c r="I26" s="160"/>
      <c r="J26" s="160"/>
      <c r="L26" s="160" t="s">
        <v>175</v>
      </c>
      <c r="M26" s="160"/>
      <c r="N26" s="160"/>
      <c r="O26" s="160"/>
    </row>
    <row r="27" spans="2:15" ht="19.95" customHeight="1">
      <c r="B27" s="161" t="s">
        <v>1</v>
      </c>
      <c r="C27" s="161"/>
      <c r="D27" s="161"/>
      <c r="E27" s="84">
        <v>15</v>
      </c>
      <c r="G27" s="161" t="s">
        <v>1</v>
      </c>
      <c r="H27" s="161"/>
      <c r="I27" s="161"/>
      <c r="J27" s="84" t="s">
        <v>185</v>
      </c>
      <c r="L27" s="161" t="s">
        <v>1</v>
      </c>
      <c r="M27" s="161"/>
      <c r="N27" s="161"/>
      <c r="O27" s="84" t="s">
        <v>187</v>
      </c>
    </row>
    <row r="28" spans="2:15" ht="40.049999999999997" customHeight="1">
      <c r="B28" s="58" t="s">
        <v>76</v>
      </c>
      <c r="C28" s="59" t="s">
        <v>77</v>
      </c>
      <c r="D28" s="59" t="s">
        <v>78</v>
      </c>
      <c r="E28" s="60" t="s">
        <v>6</v>
      </c>
      <c r="G28" s="58" t="s">
        <v>76</v>
      </c>
      <c r="H28" s="59" t="s">
        <v>77</v>
      </c>
      <c r="I28" s="59" t="s">
        <v>78</v>
      </c>
      <c r="J28" s="60" t="s">
        <v>6</v>
      </c>
      <c r="L28" s="58" t="s">
        <v>76</v>
      </c>
      <c r="M28" s="59" t="s">
        <v>77</v>
      </c>
      <c r="N28" s="59" t="s">
        <v>78</v>
      </c>
      <c r="O28" s="60" t="s">
        <v>6</v>
      </c>
    </row>
    <row r="29" spans="2:15" ht="19.95" customHeight="1" thickBot="1">
      <c r="B29" s="9" t="s">
        <v>79</v>
      </c>
      <c r="C29" s="10" t="s">
        <v>176</v>
      </c>
      <c r="D29" s="11" t="s">
        <v>159</v>
      </c>
      <c r="E29" s="12" t="str">
        <f>IF(AND(E30="O",E35="O"),"O","X")</f>
        <v>X</v>
      </c>
      <c r="G29" s="9" t="s">
        <v>79</v>
      </c>
      <c r="H29" s="10" t="s">
        <v>176</v>
      </c>
      <c r="I29" s="11" t="s">
        <v>159</v>
      </c>
      <c r="J29" s="12" t="str">
        <f>IF(AND(J30="O",J33="O"),"O","X")</f>
        <v>X</v>
      </c>
      <c r="L29" s="9" t="s">
        <v>79</v>
      </c>
      <c r="M29" s="10" t="s">
        <v>176</v>
      </c>
      <c r="N29" s="11" t="s">
        <v>159</v>
      </c>
      <c r="O29" s="12" t="str">
        <f>IF(AND(O30="O",O37="O"),"O","X")</f>
        <v>X</v>
      </c>
    </row>
    <row r="30" spans="2:15" ht="19.95" customHeight="1" thickTop="1" thickBot="1">
      <c r="B30" s="13">
        <v>1</v>
      </c>
      <c r="C30" s="14" t="s">
        <v>177</v>
      </c>
      <c r="D30" s="15" t="s">
        <v>160</v>
      </c>
      <c r="E30" s="33" t="str">
        <f>IF(COUNTIF(E31:E34,"O")=COUNTA(E31:E34),"O","X")</f>
        <v>X</v>
      </c>
      <c r="G30" s="13">
        <v>1</v>
      </c>
      <c r="H30" s="14" t="s">
        <v>177</v>
      </c>
      <c r="I30" s="15" t="s">
        <v>160</v>
      </c>
      <c r="J30" s="33" t="str">
        <f>IF(COUNTIF(J31:J32,"O")=COUNTA(J31:J32),"O","X")</f>
        <v>X</v>
      </c>
      <c r="L30" s="13">
        <v>1</v>
      </c>
      <c r="M30" s="14" t="s">
        <v>177</v>
      </c>
      <c r="N30" s="15" t="s">
        <v>160</v>
      </c>
      <c r="O30" s="33" t="str">
        <f>IF(COUNTIF(O31:O36,"O")=COUNTA(O31:O36),"O","X")</f>
        <v>X</v>
      </c>
    </row>
    <row r="31" spans="2:15" ht="19.95" customHeight="1">
      <c r="B31" s="44" t="s">
        <v>148</v>
      </c>
      <c r="C31" s="45" t="s">
        <v>181</v>
      </c>
      <c r="D31" s="85" t="s">
        <v>182</v>
      </c>
      <c r="E31" s="70" t="str">
        <f>IF(SUMIF(기초및전공과목!$AB$6:$AB$1000,OR("열유체역학*","유체역학*","열역학*"),기초및전공과목!$AD$6:$AD$1000)&gt;0,"O","X")</f>
        <v>X</v>
      </c>
      <c r="G31" s="44" t="s">
        <v>148</v>
      </c>
      <c r="H31" s="45" t="s">
        <v>179</v>
      </c>
      <c r="I31" s="85"/>
      <c r="J31" s="70" t="str">
        <f>IF(SUMIF(기초및전공과목!$AB$6:$AB$1000,"기구동역학*",기초및전공과목!$AD$6:$AD$1000)&gt;0,"O","X")</f>
        <v>X</v>
      </c>
      <c r="L31" s="44" t="s">
        <v>148</v>
      </c>
      <c r="M31" s="45" t="s">
        <v>170</v>
      </c>
      <c r="N31" s="85"/>
      <c r="O31" s="70" t="str">
        <f>IF(SUMIF(기초및전공과목!$AB$6:$AB$1000,"열역학*",기초및전공과목!$AD$6:$AD$1000)&gt;0,"O","X")</f>
        <v>X</v>
      </c>
    </row>
    <row r="32" spans="2:15" ht="19.95" customHeight="1" thickBot="1">
      <c r="B32" s="28" t="s">
        <v>165</v>
      </c>
      <c r="C32" s="29" t="s">
        <v>178</v>
      </c>
      <c r="D32" s="86"/>
      <c r="E32" s="70" t="str">
        <f>IF(SUMIF(기초및전공과목!$AB$6:$AB$1000,"고체역학*",기초및전공과목!$AD$6:$AD$1000)&gt;0,"O","X")</f>
        <v>X</v>
      </c>
      <c r="G32" s="20" t="s">
        <v>165</v>
      </c>
      <c r="H32" s="21" t="s">
        <v>186</v>
      </c>
      <c r="I32" s="88"/>
      <c r="J32" s="23" t="str">
        <f>IF(SUMIF(기초및전공과목!$AB$6:$AB$1000,"유체역학*",기초및전공과목!$AD$6:$AD$1000)&gt;0,"O","X")</f>
        <v>X</v>
      </c>
      <c r="L32" s="28" t="s">
        <v>165</v>
      </c>
      <c r="M32" s="29" t="s">
        <v>178</v>
      </c>
      <c r="N32" s="86"/>
      <c r="O32" s="70" t="str">
        <f>IF(SUMIF(기초및전공과목!$AB$6:$AB$1000,"고체역학*",기초및전공과목!$AD$6:$AD$1000)&gt;0,"O","X")</f>
        <v>X</v>
      </c>
    </row>
    <row r="33" spans="2:15" ht="19.95" customHeight="1" thickTop="1" thickBot="1">
      <c r="B33" s="28" t="s">
        <v>166</v>
      </c>
      <c r="C33" s="29" t="s">
        <v>179</v>
      </c>
      <c r="D33" s="86"/>
      <c r="E33" s="70" t="str">
        <f>IF(SUMIF(기초및전공과목!$AB$6:$AB$1000,"기구동역학*",기초및전공과목!$AD$6:$AD$1000)&gt;0,"O","X")</f>
        <v>X</v>
      </c>
      <c r="G33" s="24" t="s">
        <v>16</v>
      </c>
      <c r="H33" s="25" t="s">
        <v>183</v>
      </c>
      <c r="I33" s="26" t="s">
        <v>254</v>
      </c>
      <c r="J33" s="33" t="str">
        <f>IF(J34&gt;=30,"O","X")</f>
        <v>X</v>
      </c>
      <c r="L33" s="28" t="s">
        <v>166</v>
      </c>
      <c r="M33" s="29" t="s">
        <v>186</v>
      </c>
      <c r="N33" s="86"/>
      <c r="O33" s="70" t="str">
        <f>IF(SUMIF(기초및전공과목!$AB$6:$AB$1000,"유체역학*",기초및전공과목!$AD$6:$AD$1000)&gt;0,"O","X")</f>
        <v>X</v>
      </c>
    </row>
    <row r="34" spans="2:15" ht="19.95" customHeight="1" thickBot="1">
      <c r="B34" s="9" t="s">
        <v>64</v>
      </c>
      <c r="C34" s="21" t="s">
        <v>180</v>
      </c>
      <c r="D34" s="88"/>
      <c r="E34" s="70" t="str">
        <f>IF(SUMIF(기초및전공과목!$AB$6:$AB$1000,"공학설계*",기초및전공과목!$AD$6:$AD$1000)&gt;0,"O","X")</f>
        <v>X</v>
      </c>
      <c r="G34" s="54" t="s">
        <v>19</v>
      </c>
      <c r="H34" s="55" t="s">
        <v>184</v>
      </c>
      <c r="I34" s="56" t="s">
        <v>154</v>
      </c>
      <c r="J34" s="23">
        <f>IF(SUMPRODUCT(기초및전공과목!$AC$6:$AC$1000,기초및전공과목!$AD$6:$AD$1000)&gt;36, 36, SUMPRODUCT(기초및전공과목!$AC$6:$AC$1000,기초및전공과목!$AD$6:$AD$1000))</f>
        <v>0</v>
      </c>
      <c r="L34" s="28" t="s">
        <v>172</v>
      </c>
      <c r="M34" s="29" t="s">
        <v>188</v>
      </c>
      <c r="N34" s="86"/>
      <c r="O34" s="19" t="str">
        <f>IF(SUMIF(기초및전공과목!$AB$6:$AB$1000,"동역학*",기초및전공과목!$AD$6:$AD$1000)&gt;0,"O","X")</f>
        <v>X</v>
      </c>
    </row>
    <row r="35" spans="2:15" ht="19.95" customHeight="1" thickTop="1" thickBot="1">
      <c r="B35" s="24" t="s">
        <v>16</v>
      </c>
      <c r="C35" s="25" t="s">
        <v>183</v>
      </c>
      <c r="D35" s="26" t="s">
        <v>254</v>
      </c>
      <c r="E35" s="33" t="str">
        <f>IF(E36&gt;=30,"O","X")</f>
        <v>X</v>
      </c>
      <c r="L35" s="28" t="s">
        <v>173</v>
      </c>
      <c r="M35" s="29" t="s">
        <v>189</v>
      </c>
      <c r="N35" s="86"/>
      <c r="O35" s="19" t="str">
        <f>IF(SUMIF(기초및전공과목!$AB$6:$AB$1000,AND("기계공학실험*",OR("*I","*Ⅰ")),기초및전공과목!$AD$6:$AD$1000)&gt;0,"O","X")</f>
        <v>X</v>
      </c>
    </row>
    <row r="36" spans="2:15" ht="19.95" customHeight="1" thickBot="1">
      <c r="B36" s="54" t="s">
        <v>19</v>
      </c>
      <c r="C36" s="55" t="s">
        <v>184</v>
      </c>
      <c r="D36" s="56" t="s">
        <v>154</v>
      </c>
      <c r="E36" s="23">
        <f>IF(SUMPRODUCT(기초및전공과목!$AC$6:$AC$1000,기초및전공과목!$AD$6:$AD$1000)&gt;36, 36, SUMPRODUCT(기초및전공과목!$AC$6:$AC$1000,기초및전공과목!$AD$6:$AD$1000))</f>
        <v>0</v>
      </c>
      <c r="L36" s="20" t="s">
        <v>191</v>
      </c>
      <c r="M36" s="21" t="s">
        <v>190</v>
      </c>
      <c r="N36" s="88"/>
      <c r="O36" s="19" t="str">
        <f>IF(SUMIF(기초및전공과목!$AB$6:$AB$1000,AND("기계공학실험*",OR("*II","*Ⅱ")),기초및전공과목!$AD$6:$AD$1000)&gt;0,"O","X")</f>
        <v>X</v>
      </c>
    </row>
    <row r="37" spans="2:15" ht="19.95" customHeight="1" thickTop="1" thickBot="1">
      <c r="L37" s="24" t="s">
        <v>16</v>
      </c>
      <c r="M37" s="25" t="s">
        <v>183</v>
      </c>
      <c r="N37" s="26" t="s">
        <v>156</v>
      </c>
      <c r="O37" s="33" t="str">
        <f>IF(O38&gt;=36,"O","X")</f>
        <v>X</v>
      </c>
    </row>
    <row r="38" spans="2:15" ht="19.95" customHeight="1" thickBot="1">
      <c r="L38" s="54" t="s">
        <v>19</v>
      </c>
      <c r="M38" s="55" t="s">
        <v>184</v>
      </c>
      <c r="N38" s="56" t="s">
        <v>155</v>
      </c>
      <c r="O38" s="23">
        <f>IF(SUMPRODUCT(기초및전공과목!$AC$6:$AC$1000,기초및전공과목!$AD$6:$AD$1000)&gt;42, 42, SUMPRODUCT(기초및전공과목!$AC$6:$AC$1000,기초및전공과목!$AD$6:$AD$1000))</f>
        <v>0</v>
      </c>
    </row>
    <row r="39" spans="2:15" ht="19.95" customHeight="1" thickTop="1"/>
    <row r="40" spans="2:15" ht="19.95" customHeight="1">
      <c r="B40" s="160" t="s">
        <v>192</v>
      </c>
      <c r="C40" s="160"/>
      <c r="D40" s="160"/>
      <c r="E40" s="160"/>
      <c r="G40" s="160" t="s">
        <v>192</v>
      </c>
      <c r="H40" s="160"/>
      <c r="I40" s="160"/>
      <c r="J40" s="160"/>
    </row>
    <row r="41" spans="2:15" ht="19.95" customHeight="1">
      <c r="B41" s="161" t="s">
        <v>1</v>
      </c>
      <c r="C41" s="161"/>
      <c r="D41" s="161"/>
      <c r="E41" s="84" t="s">
        <v>203</v>
      </c>
      <c r="G41" s="161" t="s">
        <v>1</v>
      </c>
      <c r="H41" s="161"/>
      <c r="I41" s="161"/>
      <c r="J41" s="84" t="s">
        <v>187</v>
      </c>
    </row>
    <row r="42" spans="2:15" ht="40.049999999999997" customHeight="1">
      <c r="B42" s="58" t="s">
        <v>76</v>
      </c>
      <c r="C42" s="59" t="s">
        <v>77</v>
      </c>
      <c r="D42" s="59" t="s">
        <v>78</v>
      </c>
      <c r="E42" s="60" t="s">
        <v>6</v>
      </c>
      <c r="G42" s="58" t="s">
        <v>76</v>
      </c>
      <c r="H42" s="59" t="s">
        <v>77</v>
      </c>
      <c r="I42" s="59" t="s">
        <v>78</v>
      </c>
      <c r="J42" s="60" t="s">
        <v>6</v>
      </c>
    </row>
    <row r="43" spans="2:15" ht="19.95" customHeight="1" thickBot="1">
      <c r="B43" s="9" t="s">
        <v>79</v>
      </c>
      <c r="C43" s="10" t="s">
        <v>193</v>
      </c>
      <c r="D43" s="11" t="s">
        <v>159</v>
      </c>
      <c r="E43" s="12" t="str">
        <f>IF(AND(E44="O",E51="O"),"O","X")</f>
        <v>X</v>
      </c>
      <c r="G43" s="9" t="s">
        <v>79</v>
      </c>
      <c r="H43" s="10" t="s">
        <v>193</v>
      </c>
      <c r="I43" s="11" t="s">
        <v>159</v>
      </c>
      <c r="J43" s="12" t="str">
        <f>IF(AND(J44="O",J50="O"),"O","X")</f>
        <v>X</v>
      </c>
    </row>
    <row r="44" spans="2:15" ht="19.95" customHeight="1" thickTop="1" thickBot="1">
      <c r="B44" s="13">
        <v>1</v>
      </c>
      <c r="C44" s="14" t="s">
        <v>194</v>
      </c>
      <c r="D44" s="15" t="s">
        <v>160</v>
      </c>
      <c r="E44" s="33" t="str">
        <f>IF(COUNTIF(E45:E50,"O")=COUNTA(E45:E50),"O","X")</f>
        <v>X</v>
      </c>
      <c r="G44" s="13">
        <v>1</v>
      </c>
      <c r="H44" s="14" t="s">
        <v>194</v>
      </c>
      <c r="I44" s="15" t="s">
        <v>160</v>
      </c>
      <c r="J44" s="33" t="str">
        <f>IF(COUNTIF(J45:J49,"O")=COUNTA(J45:J49),"O","X")</f>
        <v>X</v>
      </c>
    </row>
    <row r="45" spans="2:15" ht="19.95" customHeight="1">
      <c r="B45" s="44" t="s">
        <v>148</v>
      </c>
      <c r="C45" s="45" t="s">
        <v>195</v>
      </c>
      <c r="D45" s="85"/>
      <c r="E45" s="70" t="str">
        <f>IF(SUMIF(기초및전공과목!$AH$6:$AH$1000,"환경공학",기초및전공과목!$AJ$6:$AJ$1000)&gt;0,"O","X")</f>
        <v>X</v>
      </c>
      <c r="G45" s="44" t="s">
        <v>148</v>
      </c>
      <c r="H45" s="45" t="s">
        <v>195</v>
      </c>
      <c r="I45" s="85"/>
      <c r="J45" s="70" t="str">
        <f>IF(SUMIF(기초및전공과목!$AH$6:$AH$1000,"환경공학",기초및전공과목!$AJ$6:$AJ$1000)&gt;0,"O","X")</f>
        <v>X</v>
      </c>
    </row>
    <row r="46" spans="2:15" ht="19.95" customHeight="1">
      <c r="B46" s="28" t="s">
        <v>165</v>
      </c>
      <c r="C46" s="29" t="s">
        <v>196</v>
      </c>
      <c r="D46" s="176" t="s">
        <v>253</v>
      </c>
      <c r="E46" s="70" t="str">
        <f>IF(SUMIF(기초및전공과목!$AH$6:$AH$1000,OR("대기학", "지구시스템과학"),기초및전공과목!$AJ$6:$AJ$1000)&gt;0,"O","X")</f>
        <v>X</v>
      </c>
      <c r="G46" s="28" t="s">
        <v>165</v>
      </c>
      <c r="H46" s="29" t="s">
        <v>198</v>
      </c>
      <c r="I46" s="86"/>
      <c r="J46" s="70" t="str">
        <f>IF(SUMIF(기초및전공과목!$AH$6:$AH$1000,AND("환경분석실험*",OR("*I","*Ⅰ")),기초및전공과목!$AJ$6:$AJ$1000)&gt;0,"O","X")</f>
        <v>X</v>
      </c>
    </row>
    <row r="47" spans="2:15" ht="19.95" customHeight="1">
      <c r="B47" s="28" t="s">
        <v>166</v>
      </c>
      <c r="C47" s="29" t="s">
        <v>197</v>
      </c>
      <c r="D47" s="177"/>
      <c r="E47" s="70" t="str">
        <f>IF(SUMIF(기초및전공과목!$AH$6:$AH$1000,OR("해양학", "지구시스템과학"),기초및전공과목!$AJ$6:$AJ$1000)&gt;0,"O","X")</f>
        <v>X</v>
      </c>
      <c r="G47" s="28" t="s">
        <v>166</v>
      </c>
      <c r="H47" s="29" t="s">
        <v>204</v>
      </c>
      <c r="I47" s="87"/>
      <c r="J47" s="70" t="str">
        <f>IF(SUMIF(기초및전공과목!$AH$6:$AH$1000,"지구시스템과학",기초및전공과목!$AJ$6:$AJ$1000)&gt;0,"O","X")</f>
        <v>X</v>
      </c>
    </row>
    <row r="48" spans="2:15" ht="19.95" customHeight="1">
      <c r="B48" s="28" t="s">
        <v>172</v>
      </c>
      <c r="C48" s="29" t="s">
        <v>198</v>
      </c>
      <c r="D48" s="87"/>
      <c r="E48" s="70" t="str">
        <f>IF(SUMIF(기초및전공과목!$AH$6:$AH$1000,AND("환경분석실험*",OR("*I","*Ⅰ")),기초및전공과목!$AJ$6:$AJ$1000)&gt;0,"O","X")</f>
        <v>X</v>
      </c>
      <c r="G48" s="28" t="s">
        <v>172</v>
      </c>
      <c r="H48" s="29" t="s">
        <v>200</v>
      </c>
      <c r="I48" s="86"/>
      <c r="J48" s="70" t="str">
        <f>IF(SUMIF(기초및전공과목!$AH$6:$AH$1000,AND("지구환경*", "*이동현상"),기초및전공과목!$AJ$6:$AJ$1000)&gt;0,"O","X")</f>
        <v>X</v>
      </c>
    </row>
    <row r="49" spans="2:10" ht="19.95" customHeight="1" thickBot="1">
      <c r="B49" s="28" t="s">
        <v>173</v>
      </c>
      <c r="C49" s="29" t="s">
        <v>199</v>
      </c>
      <c r="D49" s="86"/>
      <c r="E49" s="70" t="str">
        <f>IF(SUMIF(기초및전공과목!$AH$6:$AH$1000,AND("지구환경*", "*열역학"),기초및전공과목!$AJ$6:$AJ$1000)&gt;0,"O","X")</f>
        <v>X</v>
      </c>
      <c r="G49" s="20" t="s">
        <v>67</v>
      </c>
      <c r="H49" s="21" t="s">
        <v>205</v>
      </c>
      <c r="I49" s="88"/>
      <c r="J49" s="70" t="str">
        <f>IF(SUMIF(기초및전공과목!$AH$6:$AH$1000,AND("환경분석실험*",OR("*II","*Ⅱ")),기초및전공과목!$AJ$6:$AJ$1000)&gt;0,"O","X")</f>
        <v>X</v>
      </c>
    </row>
    <row r="50" spans="2:10" ht="19.95" customHeight="1" thickTop="1" thickBot="1">
      <c r="B50" s="20" t="s">
        <v>69</v>
      </c>
      <c r="C50" s="21" t="s">
        <v>200</v>
      </c>
      <c r="D50" s="88"/>
      <c r="E50" s="70" t="str">
        <f>IF(SUMIF(기초및전공과목!$AH$6:$AH$1000,AND("지구환경*", "*이동현상"),기초및전공과목!$AJ$6:$AJ$1000)&gt;0,"O","X")</f>
        <v>X</v>
      </c>
      <c r="G50" s="24" t="s">
        <v>16</v>
      </c>
      <c r="H50" s="25" t="s">
        <v>201</v>
      </c>
      <c r="I50" s="26" t="s">
        <v>156</v>
      </c>
      <c r="J50" s="33" t="str">
        <f>IF(J51&gt;=36,"O","X")</f>
        <v>X</v>
      </c>
    </row>
    <row r="51" spans="2:10" ht="19.95" customHeight="1" thickTop="1" thickBot="1">
      <c r="B51" s="24" t="s">
        <v>16</v>
      </c>
      <c r="C51" s="25" t="s">
        <v>201</v>
      </c>
      <c r="D51" s="26" t="s">
        <v>254</v>
      </c>
      <c r="E51" s="33" t="str">
        <f>IF(E52&gt;=30,"O","X")</f>
        <v>X</v>
      </c>
      <c r="G51" s="54" t="s">
        <v>19</v>
      </c>
      <c r="H51" s="55" t="s">
        <v>202</v>
      </c>
      <c r="I51" s="56" t="s">
        <v>155</v>
      </c>
      <c r="J51" s="23">
        <f>IF(SUMPRODUCT(기초및전공과목!$AI$6:$AI$1000,기초및전공과목!$AJ$6:$AJ$1000)&gt;42, 42, SUMPRODUCT(기초및전공과목!$AI$6:$AI$1000,기초및전공과목!$AJ$6:$AJ$1000))</f>
        <v>0</v>
      </c>
    </row>
    <row r="52" spans="2:10" ht="19.95" customHeight="1" thickBot="1">
      <c r="B52" s="54" t="s">
        <v>19</v>
      </c>
      <c r="C52" s="55" t="s">
        <v>202</v>
      </c>
      <c r="D52" s="56" t="s">
        <v>154</v>
      </c>
      <c r="E52" s="23">
        <f>IF(SUMPRODUCT(기초및전공과목!$AI$6:$AI$1000,기초및전공과목!$AJ$6:$AJ$1000)&gt;36, 36, SUMPRODUCT(기초및전공과목!$AI$6:$AI$1000,기초및전공과목!$AJ$6:$AJ$1000))</f>
        <v>0</v>
      </c>
    </row>
    <row r="53" spans="2:10" ht="19.95" customHeight="1" thickTop="1"/>
    <row r="54" spans="2:10" ht="19.95" customHeight="1">
      <c r="B54" s="160" t="s">
        <v>206</v>
      </c>
      <c r="C54" s="160"/>
      <c r="D54" s="160"/>
      <c r="E54" s="160"/>
      <c r="G54" s="160" t="s">
        <v>206</v>
      </c>
      <c r="H54" s="160"/>
      <c r="I54" s="160"/>
      <c r="J54" s="160"/>
    </row>
    <row r="55" spans="2:10" ht="19.95" customHeight="1">
      <c r="B55" s="161" t="s">
        <v>1</v>
      </c>
      <c r="C55" s="161"/>
      <c r="D55" s="161"/>
      <c r="E55" s="84" t="s">
        <v>203</v>
      </c>
      <c r="G55" s="161" t="s">
        <v>1</v>
      </c>
      <c r="H55" s="161"/>
      <c r="I55" s="161"/>
      <c r="J55" s="84" t="s">
        <v>96</v>
      </c>
    </row>
    <row r="56" spans="2:10" ht="40.049999999999997" customHeight="1">
      <c r="B56" s="58" t="s">
        <v>76</v>
      </c>
      <c r="C56" s="59" t="s">
        <v>77</v>
      </c>
      <c r="D56" s="59" t="s">
        <v>78</v>
      </c>
      <c r="E56" s="60" t="s">
        <v>6</v>
      </c>
      <c r="G56" s="58" t="s">
        <v>76</v>
      </c>
      <c r="H56" s="59" t="s">
        <v>77</v>
      </c>
      <c r="I56" s="59" t="s">
        <v>78</v>
      </c>
      <c r="J56" s="60" t="s">
        <v>6</v>
      </c>
    </row>
    <row r="57" spans="2:10" ht="19.95" customHeight="1" thickBot="1">
      <c r="B57" s="9" t="s">
        <v>79</v>
      </c>
      <c r="C57" s="10" t="s">
        <v>207</v>
      </c>
      <c r="D57" s="11" t="s">
        <v>159</v>
      </c>
      <c r="E57" s="12" t="str">
        <f>IF(AND(E58="O",E64="O"),"O","X")</f>
        <v>X</v>
      </c>
      <c r="G57" s="9" t="s">
        <v>79</v>
      </c>
      <c r="H57" s="10" t="s">
        <v>207</v>
      </c>
      <c r="I57" s="11" t="s">
        <v>159</v>
      </c>
      <c r="J57" s="12" t="str">
        <f>IF(AND(J58="O",J66="O"),"O","X")</f>
        <v>X</v>
      </c>
    </row>
    <row r="58" spans="2:10" ht="19.95" customHeight="1" thickTop="1" thickBot="1">
      <c r="B58" s="13">
        <v>1</v>
      </c>
      <c r="C58" s="14" t="s">
        <v>208</v>
      </c>
      <c r="D58" s="15" t="s">
        <v>160</v>
      </c>
      <c r="E58" s="33" t="str">
        <f>IF(COUNTIF(E60:E63,"O")=COUNTA(E60:E63),"O","X")</f>
        <v>X</v>
      </c>
      <c r="G58" s="13">
        <v>1</v>
      </c>
      <c r="H58" s="14" t="s">
        <v>208</v>
      </c>
      <c r="I58" s="15" t="s">
        <v>160</v>
      </c>
      <c r="J58" s="33" t="str">
        <f>IF(COUNTIF(J59:J65,"O")=COUNTA(J59:J65),"O","X")</f>
        <v>X</v>
      </c>
    </row>
    <row r="59" spans="2:10" ht="19.95" customHeight="1">
      <c r="B59" s="44" t="s">
        <v>148</v>
      </c>
      <c r="C59" s="45" t="s">
        <v>215</v>
      </c>
      <c r="D59" s="85"/>
      <c r="E59" s="70" t="str">
        <f>IF(SUMIF(기초및전공과목!$AN$6:$AN$1000,AND("생화학*",OR("*I","*Ⅰ")),기초및전공과목!$AP$6:$AP$1000)&gt;0,"O","X")</f>
        <v>X</v>
      </c>
      <c r="G59" s="44" t="s">
        <v>148</v>
      </c>
      <c r="H59" s="45" t="s">
        <v>213</v>
      </c>
      <c r="I59" s="85"/>
      <c r="J59" s="70" t="str">
        <f>IF(SUMIF(기초및전공과목!$AN$6:$AN$1000,AND("유기화학*",OR("*I","*Ⅰ")),기초및전공과목!$AP$6:$AP$1000)&gt;0,"O","X")</f>
        <v>X</v>
      </c>
    </row>
    <row r="60" spans="2:10" ht="19.95" customHeight="1">
      <c r="B60" s="28" t="s">
        <v>165</v>
      </c>
      <c r="C60" s="17" t="s">
        <v>212</v>
      </c>
      <c r="D60" s="86"/>
      <c r="E60" s="70" t="str">
        <f>IF(SUMIF(기초및전공과목!$AN$6:$AN$1000,AND("생화학*",OR("*II","*Ⅱ")),기초및전공과목!$AP$6:$AP$1000)&gt;0,"O","X")</f>
        <v>X</v>
      </c>
      <c r="G60" s="28" t="s">
        <v>165</v>
      </c>
      <c r="H60" s="29" t="s">
        <v>214</v>
      </c>
      <c r="I60" s="86"/>
      <c r="J60" s="70" t="str">
        <f>IF(SUMIF(기초및전공과목!$AN$6:$AN$1000,"분자생물학",기초및전공과목!$AP$6:$AP$1000)&gt;0,"O","X")</f>
        <v>X</v>
      </c>
    </row>
    <row r="61" spans="2:10" ht="19.95" customHeight="1">
      <c r="B61" s="28" t="s">
        <v>166</v>
      </c>
      <c r="C61" s="29" t="s">
        <v>209</v>
      </c>
      <c r="E61" s="70" t="str">
        <f>IF(SUMIF(기초및전공과목!$AN$6:$AN$1000,"세포생물학",기초및전공과목!$AP$6:$AP$1000)&gt;0,"O","X")</f>
        <v>X</v>
      </c>
      <c r="G61" s="28" t="s">
        <v>166</v>
      </c>
      <c r="H61" s="29" t="s">
        <v>211</v>
      </c>
      <c r="I61" s="86"/>
      <c r="J61" s="70" t="str">
        <f>IF(SUMIF(기초및전공과목!$AN$6:$AN$1000,"생화학·분자생물학 실험",기초및전공과목!$AP$6:$AP$1000)&gt;0,"O","X")</f>
        <v>X</v>
      </c>
    </row>
    <row r="62" spans="2:10" ht="19.95" customHeight="1">
      <c r="B62" s="28" t="s">
        <v>172</v>
      </c>
      <c r="C62" s="29" t="s">
        <v>211</v>
      </c>
      <c r="D62" s="86"/>
      <c r="E62" s="70" t="str">
        <f>IF(SUMIF(기초및전공과목!$AN$6:$AN$1000,"생화학·분자생물학 실험",기초및전공과목!$AP$6:$AP$1000)&gt;0,"O","X")</f>
        <v>X</v>
      </c>
      <c r="G62" s="28" t="s">
        <v>172</v>
      </c>
      <c r="H62" s="29" t="s">
        <v>215</v>
      </c>
      <c r="I62" s="86"/>
      <c r="J62" s="70" t="str">
        <f>IF(SUMIF(기초및전공과목!$AN$6:$AN$1000,AND("생화학*",OR("*I","*Ⅰ")),기초및전공과목!$AP$6:$AP$1000)&gt;0,"O","X")</f>
        <v>X</v>
      </c>
    </row>
    <row r="63" spans="2:10" ht="19.95" customHeight="1" thickBot="1">
      <c r="B63" s="20" t="s">
        <v>67</v>
      </c>
      <c r="C63" s="21" t="s">
        <v>210</v>
      </c>
      <c r="D63" s="88"/>
      <c r="E63" s="70" t="str">
        <f>IF(SUMIF(기초및전공과목!$AN$6:$AN$1000,"세포·발생생물학 실험",기초및전공과목!$AP$6:$AP$1000)&gt;0,"O","X")</f>
        <v>X</v>
      </c>
      <c r="G63" s="91" t="s">
        <v>173</v>
      </c>
      <c r="H63" s="89" t="s">
        <v>216</v>
      </c>
      <c r="I63" s="90"/>
      <c r="J63" s="70" t="str">
        <f>IF(SUMIF(기초및전공과목!$AN$6:$AN$1000,AND("생화학*",OR("*II","*Ⅱ")),기초및전공과목!$AP$6:$AP$1000)&gt;0,"O","X")</f>
        <v>X</v>
      </c>
    </row>
    <row r="64" spans="2:10" ht="19.95" customHeight="1" thickTop="1" thickBot="1">
      <c r="B64" s="24" t="s">
        <v>16</v>
      </c>
      <c r="C64" s="25" t="s">
        <v>217</v>
      </c>
      <c r="D64" s="26" t="s">
        <v>254</v>
      </c>
      <c r="E64" s="33" t="str">
        <f>IF(E65&gt;=30,"O","X")</f>
        <v>X</v>
      </c>
      <c r="G64" s="91" t="s">
        <v>191</v>
      </c>
      <c r="H64" s="89" t="s">
        <v>209</v>
      </c>
      <c r="I64" s="90"/>
      <c r="J64" s="70" t="str">
        <f>IF(SUMIF(기초및전공과목!$AN$6:$AN$1000,"세포생물학",기초및전공과목!$AP$6:$AP$1000)&gt;0,"O","X")</f>
        <v>X</v>
      </c>
    </row>
    <row r="65" spans="2:10" ht="19.95" customHeight="1" thickBot="1">
      <c r="B65" s="54" t="s">
        <v>19</v>
      </c>
      <c r="C65" s="55" t="s">
        <v>218</v>
      </c>
      <c r="D65" s="56" t="s">
        <v>154</v>
      </c>
      <c r="E65" s="23">
        <f>IF(SUMPRODUCT(기초및전공과목!$AO$6:$AO$1000,기초및전공과목!$AP$6:$AP$1000)&gt;36, 36, SUMPRODUCT(기초및전공과목!$AO$6:$AO$1000,기초및전공과목!$AP$6:$AP$1000))</f>
        <v>0</v>
      </c>
      <c r="G65" s="20" t="s">
        <v>71</v>
      </c>
      <c r="H65" s="21" t="s">
        <v>210</v>
      </c>
      <c r="I65" s="88"/>
      <c r="J65" s="70" t="str">
        <f>IF(SUMIF(기초및전공과목!$AN$6:$AN$1000,"세포·발생생물학 실험",기초및전공과목!$AP$6:$AP$1000)&gt;0,"O","X")</f>
        <v>X</v>
      </c>
    </row>
    <row r="66" spans="2:10" ht="19.95" customHeight="1" thickTop="1" thickBot="1">
      <c r="G66" s="24" t="s">
        <v>16</v>
      </c>
      <c r="H66" s="25" t="s">
        <v>217</v>
      </c>
      <c r="I66" s="26" t="s">
        <v>156</v>
      </c>
      <c r="J66" s="33" t="str">
        <f>IF(J67&gt;=36,"O","X")</f>
        <v>X</v>
      </c>
    </row>
    <row r="67" spans="2:10" ht="19.95" customHeight="1" thickBot="1">
      <c r="G67" s="54" t="s">
        <v>19</v>
      </c>
      <c r="H67" s="55" t="s">
        <v>218</v>
      </c>
      <c r="I67" s="56" t="s">
        <v>155</v>
      </c>
      <c r="J67" s="23">
        <f>IF(SUMPRODUCT(기초및전공과목!$AO$6:$AO$1000,기초및전공과목!$AP$6:$AP$1000)&gt;42, 42, SUMPRODUCT(기초및전공과목!$AO$6:$AO$1000,기초및전공과목!$AP$6:$AP$1000))</f>
        <v>0</v>
      </c>
    </row>
    <row r="68" spans="2:10" ht="19.95" customHeight="1" thickTop="1"/>
    <row r="69" spans="2:10" ht="19.95" customHeight="1">
      <c r="B69" s="160" t="s">
        <v>219</v>
      </c>
      <c r="C69" s="160"/>
      <c r="D69" s="160"/>
      <c r="E69" s="160"/>
      <c r="G69" s="160" t="s">
        <v>219</v>
      </c>
      <c r="H69" s="160"/>
      <c r="I69" s="160"/>
      <c r="J69" s="160"/>
    </row>
    <row r="70" spans="2:10" ht="19.95" customHeight="1">
      <c r="B70" s="161" t="s">
        <v>1</v>
      </c>
      <c r="C70" s="161"/>
      <c r="D70" s="161"/>
      <c r="E70" s="84" t="s">
        <v>203</v>
      </c>
      <c r="G70" s="161" t="s">
        <v>1</v>
      </c>
      <c r="H70" s="161"/>
      <c r="I70" s="161"/>
      <c r="J70" s="84" t="s">
        <v>187</v>
      </c>
    </row>
    <row r="71" spans="2:10" ht="40.049999999999997" customHeight="1">
      <c r="B71" s="58" t="s">
        <v>76</v>
      </c>
      <c r="C71" s="59" t="s">
        <v>77</v>
      </c>
      <c r="D71" s="59" t="s">
        <v>78</v>
      </c>
      <c r="E71" s="60" t="s">
        <v>6</v>
      </c>
      <c r="G71" s="58" t="s">
        <v>76</v>
      </c>
      <c r="H71" s="59" t="s">
        <v>77</v>
      </c>
      <c r="I71" s="59" t="s">
        <v>78</v>
      </c>
      <c r="J71" s="60" t="s">
        <v>6</v>
      </c>
    </row>
    <row r="72" spans="2:10" ht="19.95" customHeight="1" thickBot="1">
      <c r="B72" s="9" t="s">
        <v>79</v>
      </c>
      <c r="C72" s="10" t="s">
        <v>227</v>
      </c>
      <c r="D72" s="11" t="s">
        <v>159</v>
      </c>
      <c r="E72" s="12" t="str">
        <f>IF(OR(E73="O",E80="O"),"O","X")</f>
        <v>X</v>
      </c>
      <c r="G72" s="9" t="s">
        <v>79</v>
      </c>
      <c r="H72" s="10" t="s">
        <v>227</v>
      </c>
      <c r="I72" s="11" t="s">
        <v>159</v>
      </c>
      <c r="J72" s="12" t="str">
        <f>IF(OR(J73="O",J82="O"),"O","X")</f>
        <v>X</v>
      </c>
    </row>
    <row r="73" spans="2:10" ht="19.95" customHeight="1" thickTop="1" thickBot="1">
      <c r="B73" s="13">
        <v>1</v>
      </c>
      <c r="C73" s="14" t="s">
        <v>228</v>
      </c>
      <c r="D73" s="15" t="s">
        <v>160</v>
      </c>
      <c r="E73" s="33" t="str">
        <f>IF(COUNTIF(E74:E79,"O")=COUNTA(E74:E79),"O","X")</f>
        <v>X</v>
      </c>
      <c r="G73" s="13">
        <v>1</v>
      </c>
      <c r="H73" s="14" t="s">
        <v>228</v>
      </c>
      <c r="I73" s="15" t="s">
        <v>160</v>
      </c>
      <c r="J73" s="33" t="str">
        <f>IF(COUNTIF(J74:J81,"O")=COUNTA(J74:J81),"O","X")</f>
        <v>X</v>
      </c>
    </row>
    <row r="74" spans="2:10" ht="19.95" customHeight="1">
      <c r="B74" s="44" t="s">
        <v>148</v>
      </c>
      <c r="C74" s="45" t="s">
        <v>220</v>
      </c>
      <c r="D74" s="85"/>
      <c r="E74" s="70" t="str">
        <f>IF(SUMIF(기초및전공과목!$AT$6:$AT$1000,AND("전자기학 및 연습*",OR("*II","*Ⅱ")),기초및전공과목!$AV$6:$AV$1000)&gt;0,"O","X")</f>
        <v>X</v>
      </c>
      <c r="G74" s="44" t="s">
        <v>148</v>
      </c>
      <c r="H74" s="45" t="s">
        <v>231</v>
      </c>
      <c r="I74" s="85"/>
      <c r="J74" s="70" t="str">
        <f>IF(SUMIF(기초및전공과목!$AT$6:$AT$1000,AND("고전역학 및 연습*",OR("*I","*Ⅰ")),기초및전공과목!$AV$6:$AV$1000)&gt;0,"O","X")</f>
        <v>X</v>
      </c>
    </row>
    <row r="75" spans="2:10" ht="19.95" customHeight="1">
      <c r="B75" s="28" t="s">
        <v>165</v>
      </c>
      <c r="C75" s="29" t="s">
        <v>221</v>
      </c>
      <c r="D75" s="86"/>
      <c r="E75" s="70" t="str">
        <f>IF(SUMIF(기초및전공과목!$AT$6:$AT$1000,AND("양자물리 및 연습*",OR("*I","*Ⅰ")),기초및전공과목!$AV$6:$AV$1000)&gt;0,"O","X")</f>
        <v>X</v>
      </c>
      <c r="G75" s="28" t="s">
        <v>165</v>
      </c>
      <c r="H75" s="29" t="s">
        <v>232</v>
      </c>
      <c r="I75" s="86"/>
      <c r="J75" s="70" t="str">
        <f>IF(SUMIF(기초및전공과목!$AT$6:$AT$1000,AND("전자기학 및 연습*",OR("*I","*Ⅰ")),기초및전공과목!$AV$6:$AV$1000)&gt;0,"O","X")</f>
        <v>X</v>
      </c>
    </row>
    <row r="76" spans="2:10" ht="19.95" customHeight="1">
      <c r="B76" s="28" t="s">
        <v>166</v>
      </c>
      <c r="C76" s="29" t="s">
        <v>222</v>
      </c>
      <c r="D76" s="86"/>
      <c r="E76" s="70" t="str">
        <f>IF(SUMIF(기초및전공과목!$AT$6:$AT$1000,AND("양자물리 및 연습*",OR("*II","*Ⅱ")),기초및전공과목!$AV$6:$AV$1000)&gt;0,"O","X")</f>
        <v>X</v>
      </c>
      <c r="G76" s="28" t="s">
        <v>166</v>
      </c>
      <c r="H76" s="29" t="s">
        <v>233</v>
      </c>
      <c r="I76" s="86"/>
      <c r="J76" s="70" t="str">
        <f>IF(SUMIF(기초및전공과목!$AT$6:$AT$1000,AND("전자기학 및 연습*",OR("*II","*Ⅱ")),기초및전공과목!$AV$6:$AV$1000)&gt;0,"O","X")</f>
        <v>X</v>
      </c>
    </row>
    <row r="77" spans="2:10" ht="19.95" customHeight="1">
      <c r="B77" s="28" t="s">
        <v>172</v>
      </c>
      <c r="C77" s="29" t="s">
        <v>223</v>
      </c>
      <c r="D77" s="86"/>
      <c r="E77" s="70" t="str">
        <f>IF(SUMIF(기초및전공과목!$AT$6:$AT$1000,"열역학 및 통계물리",기초및전공과목!$AV$6:$AV$1000)&gt;0,"O","X")</f>
        <v>X</v>
      </c>
      <c r="G77" s="28" t="s">
        <v>172</v>
      </c>
      <c r="H77" s="29" t="s">
        <v>221</v>
      </c>
      <c r="I77" s="86"/>
      <c r="J77" s="70" t="str">
        <f>IF(SUMIF(기초및전공과목!$AT$6:$AT$1000,AND("양자물리 및 연습*",OR("*I","*Ⅰ")),기초및전공과목!$AV$6:$AV$1000)&gt;0,"O","X")</f>
        <v>X</v>
      </c>
    </row>
    <row r="78" spans="2:10" ht="19.95" customHeight="1">
      <c r="B78" s="91" t="s">
        <v>173</v>
      </c>
      <c r="C78" s="89" t="s">
        <v>224</v>
      </c>
      <c r="D78" s="90"/>
      <c r="E78" s="70" t="str">
        <f>IF(SUMIF(기초및전공과목!$AT$6:$AT$1000,AND("물리실험*",OR("*I","*Ⅰ")),기초및전공과목!$AV$6:$AV$1000)&gt;0,"O","X")</f>
        <v>X</v>
      </c>
      <c r="G78" s="91" t="s">
        <v>173</v>
      </c>
      <c r="H78" s="89" t="s">
        <v>222</v>
      </c>
      <c r="I78" s="90"/>
      <c r="J78" s="70" t="str">
        <f>IF(SUMIF(기초및전공과목!$AT$6:$AT$1000,AND("양자물리 및 연습*",OR("*II","*Ⅱ")),기초및전공과목!$AV$6:$AV$1000)&gt;0,"O","X")</f>
        <v>X</v>
      </c>
    </row>
    <row r="79" spans="2:10" ht="19.95" customHeight="1" thickBot="1">
      <c r="B79" s="20" t="s">
        <v>69</v>
      </c>
      <c r="C79" s="21" t="s">
        <v>225</v>
      </c>
      <c r="D79" s="88" t="s">
        <v>226</v>
      </c>
      <c r="E79" s="70" t="str">
        <f>IF(SUMIF(기초및전공과목!$AT$6:$AT$1000,OR(AND("수리물리*",OR("*I","*Ⅰ")), "수리물리 및 연습"),기초및전공과목!$AV$6:$AV$1000)&gt;0,"O","X")</f>
        <v>X</v>
      </c>
      <c r="G79" s="91" t="s">
        <v>191</v>
      </c>
      <c r="H79" s="89" t="s">
        <v>223</v>
      </c>
      <c r="I79" s="90"/>
      <c r="J79" s="70" t="str">
        <f>IF(SUMIF(기초및전공과목!$AT$6:$AT$1000,"열역학 및 통계물리",기초및전공과목!$AV$6:$AV$1000)&gt;0,"O","X")</f>
        <v>X</v>
      </c>
    </row>
    <row r="80" spans="2:10" ht="19.95" customHeight="1" thickTop="1" thickBot="1">
      <c r="B80" s="24" t="s">
        <v>16</v>
      </c>
      <c r="C80" s="25" t="s">
        <v>229</v>
      </c>
      <c r="D80" s="26" t="s">
        <v>254</v>
      </c>
      <c r="E80" s="33" t="str">
        <f>IF(E81&gt;=30,"O","X")</f>
        <v>X</v>
      </c>
      <c r="G80" s="91" t="s">
        <v>234</v>
      </c>
      <c r="H80" s="89" t="s">
        <v>224</v>
      </c>
      <c r="I80" s="90"/>
      <c r="J80" s="70" t="str">
        <f>IF(SUMIF(기초및전공과목!$AT$6:$AT$1000,AND("물리실험*",OR("*I","*Ⅰ")),기초및전공과목!$AV$6:$AV$1000)&gt;0,"O","X")</f>
        <v>X</v>
      </c>
    </row>
    <row r="81" spans="2:10" ht="19.95" customHeight="1" thickBot="1">
      <c r="B81" s="54" t="s">
        <v>19</v>
      </c>
      <c r="C81" s="55" t="s">
        <v>230</v>
      </c>
      <c r="D81" s="56" t="s">
        <v>154</v>
      </c>
      <c r="E81" s="23">
        <f>IF(SUMPRODUCT(기초및전공과목!$AU$6:$AU$1000,기초및전공과목!$AV$6:$AV$1000)&gt;36, 36, SUMPRODUCT(기초및전공과목!$AU$6:$AU$1000,기초및전공과목!$AV$6:$AV$1000))</f>
        <v>0</v>
      </c>
      <c r="G81" s="20" t="s">
        <v>235</v>
      </c>
      <c r="H81" s="21" t="s">
        <v>236</v>
      </c>
      <c r="I81" s="88"/>
      <c r="J81" s="70" t="str">
        <f>IF(SUMIF(기초및전공과목!$AT$6:$AT$1000,OR(AND("수리물리*",OR("*I","*Ⅰ")), "수리물리 및 연습"),기초및전공과목!$AV$6:$AV$1000)&gt;0,"O","X")</f>
        <v>X</v>
      </c>
    </row>
    <row r="82" spans="2:10" ht="19.95" customHeight="1" thickTop="1" thickBot="1">
      <c r="G82" s="24" t="s">
        <v>16</v>
      </c>
      <c r="H82" s="25" t="s">
        <v>229</v>
      </c>
      <c r="I82" s="26" t="s">
        <v>156</v>
      </c>
      <c r="J82" s="33" t="str">
        <f>IF(J83&gt;=30,"O","X")</f>
        <v>X</v>
      </c>
    </row>
    <row r="83" spans="2:10" ht="19.95" customHeight="1" thickBot="1">
      <c r="G83" s="54" t="s">
        <v>19</v>
      </c>
      <c r="H83" s="55" t="s">
        <v>230</v>
      </c>
      <c r="I83" s="56" t="s">
        <v>155</v>
      </c>
      <c r="J83" s="23">
        <f>IF(SUMPRODUCT(기초및전공과목!$AU$6:$AU$1000,기초및전공과목!$AV$6:$AV$1000)&gt;36, 36, SUMPRODUCT(기초및전공과목!$AU$6:$AU$1000,기초및전공과목!$AV$6:$AV$1000))</f>
        <v>0</v>
      </c>
    </row>
    <row r="84" spans="2:10" ht="19.95" customHeight="1" thickTop="1"/>
    <row r="85" spans="2:10" ht="19.95" customHeight="1">
      <c r="B85" s="160" t="s">
        <v>237</v>
      </c>
      <c r="C85" s="160"/>
      <c r="D85" s="160"/>
      <c r="E85" s="160"/>
      <c r="G85" s="160" t="s">
        <v>237</v>
      </c>
      <c r="H85" s="160"/>
      <c r="I85" s="160"/>
      <c r="J85" s="160"/>
    </row>
    <row r="86" spans="2:10" ht="19.95" customHeight="1">
      <c r="B86" s="161" t="s">
        <v>1</v>
      </c>
      <c r="C86" s="161"/>
      <c r="D86" s="161"/>
      <c r="E86" s="84" t="s">
        <v>203</v>
      </c>
      <c r="G86" s="161" t="s">
        <v>1</v>
      </c>
      <c r="H86" s="161"/>
      <c r="I86" s="161"/>
      <c r="J86" s="84" t="s">
        <v>187</v>
      </c>
    </row>
    <row r="87" spans="2:10" ht="40.049999999999997" customHeight="1">
      <c r="B87" s="58" t="s">
        <v>76</v>
      </c>
      <c r="C87" s="59" t="s">
        <v>77</v>
      </c>
      <c r="D87" s="59" t="s">
        <v>78</v>
      </c>
      <c r="E87" s="60" t="s">
        <v>6</v>
      </c>
      <c r="G87" s="58" t="s">
        <v>76</v>
      </c>
      <c r="H87" s="59" t="s">
        <v>77</v>
      </c>
      <c r="I87" s="59" t="s">
        <v>78</v>
      </c>
      <c r="J87" s="60" t="s">
        <v>6</v>
      </c>
    </row>
    <row r="88" spans="2:10" ht="19.95" customHeight="1" thickBot="1">
      <c r="B88" s="9" t="s">
        <v>79</v>
      </c>
      <c r="C88" s="10" t="s">
        <v>238</v>
      </c>
      <c r="D88" s="11" t="s">
        <v>159</v>
      </c>
      <c r="E88" s="12" t="str">
        <f>IF(OR(E89="O",E95="O"),"O","X")</f>
        <v>X</v>
      </c>
      <c r="G88" s="9" t="s">
        <v>79</v>
      </c>
      <c r="H88" s="10" t="s">
        <v>238</v>
      </c>
      <c r="I88" s="11" t="s">
        <v>159</v>
      </c>
      <c r="J88" s="12" t="str">
        <f>IF(OR(J89="O",J97="O"),"O","X")</f>
        <v>X</v>
      </c>
    </row>
    <row r="89" spans="2:10" ht="19.95" customHeight="1" thickTop="1" thickBot="1">
      <c r="B89" s="13">
        <v>1</v>
      </c>
      <c r="C89" s="14" t="s">
        <v>239</v>
      </c>
      <c r="D89" s="15" t="s">
        <v>160</v>
      </c>
      <c r="E89" s="33" t="str">
        <f>IF(COUNTIF(E90:E94,"O")=COUNTA(E90:E94),"O","X")</f>
        <v>X</v>
      </c>
      <c r="G89" s="13">
        <v>1</v>
      </c>
      <c r="H89" s="14" t="s">
        <v>239</v>
      </c>
      <c r="I89" s="15" t="s">
        <v>160</v>
      </c>
      <c r="J89" s="33" t="str">
        <f>IF(COUNTIF(J90:J96,"O")=COUNTA(J90:J96),"O","X")</f>
        <v>X</v>
      </c>
    </row>
    <row r="90" spans="2:10" ht="19.95" customHeight="1">
      <c r="B90" s="44" t="s">
        <v>148</v>
      </c>
      <c r="C90" s="45" t="s">
        <v>242</v>
      </c>
      <c r="D90" s="85"/>
      <c r="E90" s="70" t="str">
        <f>IF(SUMIF(기초및전공과목!$AZ$6:$AZ$1000,"화학합성실험",기초및전공과목!$BB$6:$BB$1000)&gt;0,"O","X")</f>
        <v>X</v>
      </c>
      <c r="G90" s="44" t="s">
        <v>148</v>
      </c>
      <c r="H90" s="45" t="s">
        <v>240</v>
      </c>
      <c r="I90" s="85"/>
      <c r="J90" s="47" t="str">
        <f>IF(SUMIF(기초및전공과목!$AZ$6:$AZ$1000,"분석화학",기초및전공과목!$BB$6:$BB$1000)&gt;0,"O","X")</f>
        <v>X</v>
      </c>
    </row>
    <row r="91" spans="2:10" ht="19.95" customHeight="1">
      <c r="B91" s="28" t="s">
        <v>165</v>
      </c>
      <c r="C91" s="29" t="s">
        <v>243</v>
      </c>
      <c r="D91" s="86"/>
      <c r="E91" s="70" t="str">
        <f>IF(SUMIF(기초및전공과목!$AZ$6:$AZ$1000,"고급화학실험",기초및전공과목!$BB$6:$BB$1000)&gt;0,"O","X")</f>
        <v>X</v>
      </c>
      <c r="G91" s="28" t="s">
        <v>165</v>
      </c>
      <c r="H91" s="29" t="s">
        <v>241</v>
      </c>
      <c r="I91" s="86"/>
      <c r="J91" s="19" t="str">
        <f>IF(SUMIF(기초및전공과목!$AZ$6:$AZ$1000,OR(AND("물리화학*",OR("*II","*Ⅱ")), AND("물리화학*","*A")),기초및전공과목!$BB$6:$BB$1000)&gt;0,"O","X")</f>
        <v>X</v>
      </c>
    </row>
    <row r="92" spans="2:10" ht="19.95" customHeight="1">
      <c r="B92" s="28" t="s">
        <v>166</v>
      </c>
      <c r="C92" s="29" t="s">
        <v>244</v>
      </c>
      <c r="D92" s="86" t="s">
        <v>246</v>
      </c>
      <c r="E92" s="70" t="str">
        <f>IF(SUMIF(기초및전공과목!$AZ$6:$AZ$1000,OR(AND("물리화학*",OR("*II","*Ⅱ")), AND("물리화학*","*A")),기초및전공과목!$BB$6:$BB$1000)&gt;0,"O","X")</f>
        <v>X</v>
      </c>
      <c r="G92" s="28" t="s">
        <v>166</v>
      </c>
      <c r="H92" s="29" t="s">
        <v>249</v>
      </c>
      <c r="I92" s="86"/>
      <c r="J92" s="70" t="str">
        <f>IF(SUMIF(기초및전공과목!$AZ$6:$AZ$1000,AND("유기화학*",OR("*II","*Ⅰ")),기초및전공과목!$BB$6:$BB$1000)&gt;0,"O","X")</f>
        <v>X</v>
      </c>
    </row>
    <row r="93" spans="2:10" ht="19.95" customHeight="1">
      <c r="B93" s="28" t="s">
        <v>172</v>
      </c>
      <c r="C93" s="29" t="s">
        <v>245</v>
      </c>
      <c r="D93" s="86"/>
      <c r="E93" s="70" t="str">
        <f>IF(SUMIF(기초및전공과목!$AZ$6:$AZ$1000,AND("유기화학*",OR("*II","*Ⅱ")),기초및전공과목!$BB$6:$BB$1000)&gt;0,"O","X")</f>
        <v>X</v>
      </c>
      <c r="G93" s="28" t="s">
        <v>172</v>
      </c>
      <c r="H93" s="29" t="s">
        <v>250</v>
      </c>
      <c r="I93" s="86"/>
      <c r="J93" s="70" t="str">
        <f>IF(SUMIF(기초및전공과목!$AZ$6:$AZ$1000,AND("유기화학*","*B"),기초및전공과목!$BB$6:$BB$1000)&gt;0,"O","X")</f>
        <v>X</v>
      </c>
    </row>
    <row r="94" spans="2:10" ht="19.95" customHeight="1" thickBot="1">
      <c r="B94" s="20" t="s">
        <v>173</v>
      </c>
      <c r="C94" s="21" t="s">
        <v>215</v>
      </c>
      <c r="D94" s="88"/>
      <c r="E94" s="70" t="str">
        <f>IF(SUMIF(기초및전공과목!$AZ$6:$AZ$1000,AND("생화학*",OR("*I","*Ⅰ")),기초및전공과목!$BB$6:$BB$1000)&gt;0,"O","X")</f>
        <v>X</v>
      </c>
      <c r="G94" s="91" t="s">
        <v>173</v>
      </c>
      <c r="H94" s="89" t="s">
        <v>251</v>
      </c>
      <c r="I94" s="90"/>
      <c r="J94" s="70" t="str">
        <f>IF(SUMIF(기초및전공과목!$AZ$6:$AZ$1000,"화학합성실험",기초및전공과목!$BB$6:$BB$1000)&gt;0,"O","X")</f>
        <v>X</v>
      </c>
    </row>
    <row r="95" spans="2:10" ht="19.95" customHeight="1" thickTop="1" thickBot="1">
      <c r="B95" s="24" t="s">
        <v>16</v>
      </c>
      <c r="C95" s="25" t="s">
        <v>247</v>
      </c>
      <c r="D95" s="26" t="s">
        <v>254</v>
      </c>
      <c r="E95" s="33" t="str">
        <f>IF(E96&gt;=30,"O","X")</f>
        <v>X</v>
      </c>
      <c r="G95" s="91" t="s">
        <v>191</v>
      </c>
      <c r="H95" s="89" t="s">
        <v>215</v>
      </c>
      <c r="I95" s="90"/>
      <c r="J95" s="70" t="str">
        <f>IF(SUMIF(기초및전공과목!$AZ$6:$AZ$1000,AND("생화학*",OR("*I","*Ⅰ")),기초및전공과목!$BB$6:$BB$1000)&gt;0,"O","X")</f>
        <v>X</v>
      </c>
    </row>
    <row r="96" spans="2:10" ht="19.95" customHeight="1" thickBot="1">
      <c r="B96" s="54" t="s">
        <v>19</v>
      </c>
      <c r="C96" s="55" t="s">
        <v>248</v>
      </c>
      <c r="D96" s="56" t="s">
        <v>154</v>
      </c>
      <c r="E96" s="23">
        <f>IF(SUMPRODUCT(기초및전공과목!$BA$6:$BA$1000,기초및전공과목!$BB$6:$BB$1000)&gt;36, 36, SUMPRODUCT(기초및전공과목!$BA$6:$BA$1000,기초및전공과목!$BB$6:$BB$1000))</f>
        <v>0</v>
      </c>
      <c r="G96" s="20" t="s">
        <v>234</v>
      </c>
      <c r="H96" s="21" t="s">
        <v>252</v>
      </c>
      <c r="I96" s="88"/>
      <c r="J96" s="23" t="str">
        <f>IF(SUMIF(기초및전공과목!$AZ$6:$AZ$1000,"무기화학",기초및전공과목!$BB$6:$BB$1000)&gt;0,"O","X")</f>
        <v>X</v>
      </c>
    </row>
    <row r="97" spans="7:10" ht="19.95" customHeight="1" thickTop="1" thickBot="1">
      <c r="G97" s="24" t="s">
        <v>16</v>
      </c>
      <c r="H97" s="25" t="s">
        <v>247</v>
      </c>
      <c r="I97" s="26" t="s">
        <v>156</v>
      </c>
      <c r="J97" s="33" t="str">
        <f>IF(J98&gt;=36,"O","X")</f>
        <v>X</v>
      </c>
    </row>
    <row r="98" spans="7:10" ht="19.95" customHeight="1" thickBot="1">
      <c r="G98" s="54" t="s">
        <v>19</v>
      </c>
      <c r="H98" s="55" t="s">
        <v>248</v>
      </c>
      <c r="I98" s="56" t="s">
        <v>155</v>
      </c>
      <c r="J98" s="23">
        <f>IF(SUMPRODUCT(기초및전공과목!$BA$6:$BA$1000,기초및전공과목!$BB$6:$BB$1000)&gt;42, 42, SUMPRODUCT(기초및전공과목!$BA$6:$BA$1000,기초및전공과목!$BB$6:$BB$1000))</f>
        <v>0</v>
      </c>
    </row>
    <row r="99" spans="7:10" ht="19.95" customHeight="1" thickTop="1"/>
  </sheetData>
  <mergeCells count="31">
    <mergeCell ref="B70:D70"/>
    <mergeCell ref="G69:J69"/>
    <mergeCell ref="G70:I70"/>
    <mergeCell ref="B85:E85"/>
    <mergeCell ref="B86:D86"/>
    <mergeCell ref="G85:J85"/>
    <mergeCell ref="G86:I86"/>
    <mergeCell ref="B54:E54"/>
    <mergeCell ref="B55:D55"/>
    <mergeCell ref="G54:J54"/>
    <mergeCell ref="G55:I55"/>
    <mergeCell ref="B69:E69"/>
    <mergeCell ref="B40:E40"/>
    <mergeCell ref="B41:D41"/>
    <mergeCell ref="D46:D47"/>
    <mergeCell ref="G40:J40"/>
    <mergeCell ref="G41:I41"/>
    <mergeCell ref="B26:E26"/>
    <mergeCell ref="B27:D27"/>
    <mergeCell ref="G26:J26"/>
    <mergeCell ref="G27:I27"/>
    <mergeCell ref="L26:O26"/>
    <mergeCell ref="L27:N27"/>
    <mergeCell ref="B13:D13"/>
    <mergeCell ref="G12:J12"/>
    <mergeCell ref="G13:I13"/>
    <mergeCell ref="B2:E2"/>
    <mergeCell ref="B3:D3"/>
    <mergeCell ref="G2:J2"/>
    <mergeCell ref="G3:I3"/>
    <mergeCell ref="B12:E1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ECDC-ABC9-4B4B-AAEF-86B682EFFFE2}">
  <sheetPr codeName="Sheet4"/>
  <dimension ref="B1:BB367"/>
  <sheetViews>
    <sheetView showGridLines="0" workbookViewId="0"/>
  </sheetViews>
  <sheetFormatPr defaultRowHeight="17.399999999999999"/>
  <cols>
    <col min="1" max="1" width="1" style="71" customWidth="1"/>
    <col min="2" max="2" width="12" style="71" customWidth="1"/>
    <col min="3" max="3" width="9" style="71" customWidth="1"/>
    <col min="4" max="4" width="35" style="71" customWidth="1"/>
    <col min="5" max="6" width="9" style="71" customWidth="1"/>
    <col min="7" max="7" width="3" style="71" customWidth="1"/>
    <col min="8" max="8" width="12" style="71" customWidth="1"/>
    <col min="9" max="9" width="9" style="71" customWidth="1"/>
    <col min="10" max="10" width="35" style="71" customWidth="1"/>
    <col min="11" max="12" width="9" style="71" customWidth="1"/>
    <col min="13" max="13" width="3" style="71" customWidth="1"/>
    <col min="14" max="14" width="12" style="71" customWidth="1"/>
    <col min="15" max="15" width="9" style="71" customWidth="1"/>
    <col min="16" max="16" width="35" style="71" customWidth="1"/>
    <col min="17" max="18" width="9" style="71" customWidth="1"/>
    <col min="19" max="19" width="3" style="71" customWidth="1"/>
    <col min="20" max="20" width="12" style="71" customWidth="1"/>
    <col min="21" max="21" width="9" style="71" customWidth="1"/>
    <col min="22" max="22" width="35" style="71" customWidth="1"/>
    <col min="23" max="24" width="9" style="71" customWidth="1"/>
    <col min="25" max="25" width="3" style="71" customWidth="1"/>
    <col min="26" max="26" width="12" style="71" customWidth="1"/>
    <col min="27" max="27" width="9" style="71" customWidth="1"/>
    <col min="28" max="28" width="35" style="71" customWidth="1"/>
    <col min="29" max="30" width="9" style="71" customWidth="1"/>
    <col min="31" max="31" width="3" style="71" customWidth="1"/>
    <col min="32" max="32" width="12" style="71" customWidth="1"/>
    <col min="33" max="33" width="9" style="71" customWidth="1"/>
    <col min="34" max="34" width="35" style="71" customWidth="1"/>
    <col min="35" max="36" width="9" style="71" customWidth="1"/>
    <col min="37" max="37" width="3" style="71" customWidth="1"/>
    <col min="38" max="38" width="12" style="71" customWidth="1"/>
    <col min="39" max="39" width="9" style="71" customWidth="1"/>
    <col min="40" max="40" width="35" style="71" customWidth="1"/>
    <col min="41" max="42" width="9" style="71" customWidth="1"/>
    <col min="43" max="43" width="3" style="71" customWidth="1"/>
    <col min="44" max="44" width="12" style="71" customWidth="1"/>
    <col min="45" max="45" width="9" style="71" customWidth="1"/>
    <col min="46" max="46" width="35" style="71" customWidth="1"/>
    <col min="47" max="48" width="9" style="71" customWidth="1"/>
    <col min="49" max="49" width="3" style="71" customWidth="1"/>
    <col min="50" max="50" width="12" style="71" customWidth="1"/>
    <col min="51" max="51" width="9" style="71" customWidth="1"/>
    <col min="52" max="52" width="35" style="71" customWidth="1"/>
    <col min="53" max="54" width="9" style="71" customWidth="1"/>
    <col min="55" max="16384" width="8.796875" style="71"/>
  </cols>
  <sheetData>
    <row r="1" spans="2:54" ht="7.95" customHeight="1"/>
    <row r="2" spans="2:54" ht="40.049999999999997" customHeight="1"/>
    <row r="3" spans="2:54" ht="7.95" customHeight="1"/>
    <row r="4" spans="2:54" ht="19.95" customHeight="1">
      <c r="B4" s="72"/>
      <c r="C4" s="73"/>
      <c r="D4" s="73"/>
      <c r="E4" s="73"/>
      <c r="F4" s="73"/>
      <c r="H4" s="72"/>
      <c r="I4" s="73"/>
      <c r="J4" s="73"/>
      <c r="K4" s="73"/>
      <c r="L4" s="73"/>
      <c r="N4" s="72"/>
      <c r="O4" s="73"/>
      <c r="P4" s="73"/>
      <c r="Q4" s="73"/>
      <c r="R4" s="73"/>
      <c r="T4" s="72"/>
      <c r="U4" s="73"/>
      <c r="V4" s="73"/>
      <c r="W4" s="73"/>
      <c r="X4" s="73"/>
      <c r="Z4" s="72"/>
      <c r="AA4" s="73"/>
      <c r="AB4" s="73"/>
      <c r="AC4" s="73"/>
      <c r="AD4" s="73"/>
      <c r="AF4" s="72"/>
      <c r="AG4" s="73"/>
      <c r="AH4" s="73"/>
      <c r="AI4" s="73"/>
      <c r="AJ4" s="73"/>
      <c r="AL4" s="72"/>
      <c r="AM4" s="73"/>
      <c r="AN4" s="73"/>
      <c r="AO4" s="73"/>
      <c r="AP4" s="73"/>
      <c r="AR4" s="72"/>
      <c r="AS4" s="73"/>
      <c r="AT4" s="73"/>
      <c r="AU4" s="73"/>
      <c r="AV4" s="73"/>
      <c r="AX4" s="72"/>
      <c r="AY4" s="73"/>
      <c r="AZ4" s="73"/>
      <c r="BA4" s="73"/>
      <c r="BB4" s="73"/>
    </row>
    <row r="5" spans="2:54" ht="19.95" customHeight="1">
      <c r="B5" s="74"/>
      <c r="C5" s="74"/>
      <c r="D5" s="74"/>
      <c r="E5" s="74"/>
      <c r="F5" s="74"/>
      <c r="H5" s="74"/>
      <c r="I5" s="74"/>
      <c r="J5" s="74"/>
      <c r="K5" s="74"/>
      <c r="L5" s="74"/>
      <c r="N5" s="74"/>
      <c r="O5" s="74"/>
      <c r="P5" s="74"/>
      <c r="Q5" s="74"/>
      <c r="R5" s="74"/>
      <c r="T5" s="74"/>
      <c r="U5" s="74"/>
      <c r="V5" s="74"/>
      <c r="W5" s="74"/>
      <c r="X5" s="74"/>
      <c r="Z5" s="74"/>
      <c r="AA5" s="74"/>
      <c r="AB5" s="74"/>
      <c r="AC5" s="74"/>
      <c r="AD5" s="74"/>
      <c r="AF5" s="74"/>
      <c r="AG5" s="74"/>
      <c r="AH5" s="74"/>
      <c r="AI5" s="74"/>
      <c r="AJ5" s="74"/>
      <c r="AL5" s="74"/>
      <c r="AM5" s="74"/>
      <c r="AN5" s="74"/>
      <c r="AO5" s="74"/>
      <c r="AP5" s="74"/>
      <c r="AR5" s="74"/>
      <c r="AS5" s="74"/>
      <c r="AT5" s="74"/>
      <c r="AU5" s="74"/>
      <c r="AV5" s="74"/>
      <c r="AX5" s="74"/>
      <c r="AY5" s="74"/>
      <c r="AZ5" s="74"/>
      <c r="BA5" s="74"/>
      <c r="BB5" s="74"/>
    </row>
    <row r="6" spans="2:54">
      <c r="F6" s="94"/>
      <c r="L6" s="94"/>
      <c r="R6" s="94"/>
      <c r="X6" s="94"/>
      <c r="AD6" s="94"/>
      <c r="AJ6" s="94"/>
      <c r="AP6" s="94"/>
      <c r="AV6" s="94"/>
      <c r="BB6" s="94"/>
    </row>
    <row r="7" spans="2:54">
      <c r="F7" s="94"/>
      <c r="L7" s="94"/>
      <c r="R7" s="94"/>
      <c r="X7" s="94"/>
      <c r="AD7" s="94"/>
      <c r="AJ7" s="94"/>
      <c r="AP7" s="94"/>
      <c r="AV7" s="94"/>
      <c r="BB7" s="94"/>
    </row>
    <row r="8" spans="2:54">
      <c r="F8" s="94"/>
      <c r="L8" s="94"/>
      <c r="R8" s="94"/>
      <c r="X8" s="94"/>
      <c r="AD8" s="94"/>
      <c r="AJ8" s="94"/>
      <c r="AP8" s="94"/>
      <c r="AV8" s="94"/>
      <c r="BB8" s="94"/>
    </row>
    <row r="9" spans="2:54">
      <c r="F9" s="94"/>
      <c r="L9" s="94"/>
      <c r="R9" s="94"/>
      <c r="X9" s="94"/>
      <c r="AD9" s="94"/>
      <c r="AJ9" s="94"/>
      <c r="AP9" s="94"/>
      <c r="AV9" s="94"/>
      <c r="BB9" s="94"/>
    </row>
    <row r="10" spans="2:54">
      <c r="F10" s="94"/>
      <c r="L10" s="94"/>
      <c r="R10" s="94"/>
      <c r="X10" s="94"/>
      <c r="AD10" s="94"/>
      <c r="AJ10" s="94"/>
      <c r="AP10" s="94"/>
      <c r="AV10" s="94"/>
      <c r="BB10" s="94"/>
    </row>
    <row r="11" spans="2:54">
      <c r="F11" s="94"/>
      <c r="L11" s="94"/>
      <c r="R11" s="94"/>
      <c r="X11" s="94"/>
      <c r="AD11" s="94"/>
      <c r="AJ11" s="94"/>
      <c r="AP11" s="94"/>
      <c r="AV11" s="94"/>
      <c r="BB11" s="94"/>
    </row>
    <row r="12" spans="2:54">
      <c r="F12" s="94"/>
      <c r="L12" s="94"/>
      <c r="R12" s="94"/>
      <c r="X12" s="94"/>
      <c r="AD12" s="94"/>
      <c r="AJ12" s="94"/>
      <c r="AP12" s="94"/>
      <c r="AV12" s="94"/>
      <c r="BB12" s="94"/>
    </row>
    <row r="13" spans="2:54">
      <c r="F13" s="94"/>
      <c r="L13" s="94"/>
      <c r="R13" s="94"/>
      <c r="X13" s="94"/>
      <c r="AD13" s="94"/>
      <c r="AJ13" s="94"/>
      <c r="AP13" s="94"/>
      <c r="AV13" s="94"/>
      <c r="BB13" s="94"/>
    </row>
    <row r="14" spans="2:54">
      <c r="F14" s="94"/>
      <c r="R14" s="94"/>
      <c r="X14" s="94"/>
      <c r="AD14" s="94"/>
      <c r="AJ14" s="94"/>
      <c r="AP14" s="94"/>
      <c r="AV14" s="94"/>
      <c r="BB14" s="94"/>
    </row>
    <row r="15" spans="2:54">
      <c r="F15" s="94"/>
      <c r="R15" s="94"/>
      <c r="X15" s="94"/>
      <c r="AD15" s="94"/>
      <c r="AJ15" s="94"/>
      <c r="AP15" s="94"/>
      <c r="AV15" s="94"/>
      <c r="BB15" s="94"/>
    </row>
    <row r="16" spans="2:54">
      <c r="F16" s="94"/>
      <c r="R16" s="94"/>
      <c r="X16" s="94"/>
      <c r="AD16" s="94"/>
      <c r="AJ16" s="94"/>
      <c r="AP16" s="94"/>
      <c r="AV16" s="94"/>
      <c r="BB16" s="94"/>
    </row>
    <row r="17" spans="6:54">
      <c r="F17" s="94"/>
      <c r="R17" s="94"/>
      <c r="X17" s="94"/>
      <c r="AD17" s="94"/>
      <c r="AJ17" s="94"/>
      <c r="AP17" s="94"/>
      <c r="AV17" s="94"/>
      <c r="BB17" s="94"/>
    </row>
    <row r="18" spans="6:54">
      <c r="F18" s="94"/>
      <c r="R18" s="94"/>
      <c r="X18" s="94"/>
      <c r="AD18" s="94"/>
      <c r="AJ18" s="94"/>
      <c r="AP18" s="94"/>
      <c r="AV18" s="94"/>
      <c r="BB18" s="94"/>
    </row>
    <row r="19" spans="6:54">
      <c r="F19" s="94"/>
      <c r="R19" s="94"/>
      <c r="X19" s="94"/>
      <c r="AD19" s="94"/>
      <c r="AJ19" s="94"/>
      <c r="AP19" s="94"/>
      <c r="AV19" s="94"/>
      <c r="BB19" s="94"/>
    </row>
    <row r="20" spans="6:54">
      <c r="F20" s="94"/>
      <c r="R20" s="94"/>
      <c r="X20" s="94"/>
      <c r="AD20" s="94"/>
      <c r="AJ20" s="94"/>
      <c r="AP20" s="94"/>
      <c r="AV20" s="94"/>
      <c r="BB20" s="94"/>
    </row>
    <row r="21" spans="6:54">
      <c r="F21" s="94"/>
      <c r="R21" s="94"/>
      <c r="X21" s="94"/>
      <c r="AD21" s="94"/>
      <c r="AJ21" s="94"/>
      <c r="AP21" s="94"/>
      <c r="AV21" s="94"/>
      <c r="BB21" s="94"/>
    </row>
    <row r="22" spans="6:54">
      <c r="F22" s="94"/>
      <c r="R22" s="94"/>
      <c r="X22" s="94"/>
      <c r="AD22" s="94"/>
      <c r="AJ22" s="94"/>
      <c r="AP22" s="94"/>
      <c r="AV22" s="94"/>
      <c r="BB22" s="94"/>
    </row>
    <row r="23" spans="6:54">
      <c r="F23" s="94"/>
      <c r="R23" s="94"/>
      <c r="X23" s="94"/>
      <c r="AD23" s="94"/>
      <c r="AJ23" s="94"/>
      <c r="AP23" s="94"/>
      <c r="AV23" s="94"/>
      <c r="BB23" s="94"/>
    </row>
    <row r="24" spans="6:54">
      <c r="F24" s="94"/>
      <c r="R24" s="94"/>
      <c r="X24" s="94"/>
      <c r="AD24" s="94"/>
      <c r="AJ24" s="94"/>
      <c r="AP24" s="94"/>
      <c r="AV24" s="94"/>
      <c r="BB24" s="94"/>
    </row>
    <row r="25" spans="6:54">
      <c r="F25" s="94"/>
      <c r="R25" s="94"/>
      <c r="X25" s="94"/>
      <c r="AD25" s="94"/>
      <c r="AJ25" s="94"/>
      <c r="AP25" s="94"/>
      <c r="AV25" s="94"/>
      <c r="BB25" s="94"/>
    </row>
    <row r="26" spans="6:54">
      <c r="F26" s="94"/>
      <c r="R26" s="94"/>
      <c r="X26" s="94"/>
      <c r="AD26" s="94"/>
      <c r="AJ26" s="94"/>
      <c r="AP26" s="94"/>
      <c r="AV26" s="94"/>
      <c r="BB26" s="94"/>
    </row>
    <row r="27" spans="6:54">
      <c r="F27" s="94"/>
      <c r="R27" s="94"/>
      <c r="X27" s="94"/>
      <c r="AD27" s="94"/>
      <c r="AJ27" s="94"/>
      <c r="AP27" s="94"/>
      <c r="AV27" s="94"/>
      <c r="BB27" s="94"/>
    </row>
    <row r="28" spans="6:54">
      <c r="F28" s="94"/>
      <c r="R28" s="94"/>
      <c r="X28" s="94"/>
      <c r="AD28" s="94"/>
      <c r="AJ28" s="94"/>
      <c r="AP28" s="94"/>
      <c r="AV28" s="94"/>
      <c r="BB28" s="94"/>
    </row>
    <row r="29" spans="6:54">
      <c r="F29" s="94"/>
      <c r="R29" s="94"/>
      <c r="X29" s="94"/>
      <c r="AD29" s="94"/>
      <c r="AJ29" s="94"/>
      <c r="AP29" s="94"/>
      <c r="AV29" s="94"/>
      <c r="BB29" s="94"/>
    </row>
    <row r="30" spans="6:54">
      <c r="F30" s="94"/>
      <c r="R30" s="94"/>
      <c r="X30" s="94"/>
      <c r="AD30" s="94"/>
      <c r="AJ30" s="94"/>
      <c r="AP30" s="94"/>
      <c r="AV30" s="94"/>
      <c r="BB30" s="94"/>
    </row>
    <row r="31" spans="6:54">
      <c r="F31" s="94"/>
      <c r="R31" s="94"/>
      <c r="X31" s="94"/>
      <c r="AD31" s="94"/>
      <c r="AJ31" s="94"/>
      <c r="AP31" s="94"/>
      <c r="AV31" s="94"/>
      <c r="BB31" s="94"/>
    </row>
    <row r="32" spans="6:54">
      <c r="F32" s="94"/>
      <c r="R32" s="94"/>
      <c r="X32" s="94"/>
      <c r="AD32" s="94"/>
      <c r="AJ32" s="94"/>
      <c r="AP32" s="94"/>
      <c r="AV32" s="94"/>
      <c r="BB32" s="94"/>
    </row>
    <row r="33" spans="6:54">
      <c r="F33" s="94"/>
      <c r="R33" s="94"/>
      <c r="X33" s="94"/>
      <c r="AD33" s="94"/>
      <c r="AJ33" s="94"/>
      <c r="AP33" s="94"/>
      <c r="AV33" s="94"/>
      <c r="BB33" s="94"/>
    </row>
    <row r="34" spans="6:54">
      <c r="F34" s="94"/>
      <c r="R34" s="94"/>
      <c r="X34" s="94"/>
      <c r="AD34" s="94"/>
      <c r="AJ34" s="94"/>
      <c r="AP34" s="94"/>
      <c r="AV34" s="94"/>
      <c r="BB34" s="94"/>
    </row>
    <row r="35" spans="6:54">
      <c r="F35" s="94"/>
      <c r="R35" s="94"/>
      <c r="X35" s="94"/>
      <c r="AD35" s="94"/>
      <c r="AJ35" s="94"/>
      <c r="AP35" s="94"/>
      <c r="AV35" s="94"/>
      <c r="BB35" s="94"/>
    </row>
    <row r="36" spans="6:54">
      <c r="F36" s="94"/>
      <c r="R36" s="94"/>
      <c r="X36" s="94"/>
      <c r="AD36" s="94"/>
      <c r="AJ36" s="94"/>
      <c r="AP36" s="94"/>
      <c r="AV36" s="94"/>
      <c r="BB36" s="94"/>
    </row>
    <row r="37" spans="6:54">
      <c r="F37" s="94"/>
      <c r="R37" s="94"/>
      <c r="X37" s="94"/>
      <c r="AD37" s="94"/>
      <c r="AJ37" s="94"/>
      <c r="AP37" s="94"/>
      <c r="AV37" s="94"/>
      <c r="BB37" s="94"/>
    </row>
    <row r="38" spans="6:54">
      <c r="F38" s="94"/>
      <c r="R38" s="94"/>
      <c r="X38" s="94"/>
      <c r="AD38" s="94"/>
      <c r="AJ38" s="94"/>
      <c r="AP38" s="94"/>
      <c r="AV38" s="94"/>
      <c r="BB38" s="94"/>
    </row>
    <row r="39" spans="6:54">
      <c r="F39" s="94"/>
      <c r="R39" s="94"/>
      <c r="X39" s="94"/>
      <c r="AD39" s="94"/>
      <c r="AJ39" s="94"/>
      <c r="AP39" s="94"/>
      <c r="AV39" s="94"/>
      <c r="BB39" s="94"/>
    </row>
    <row r="40" spans="6:54">
      <c r="F40" s="94"/>
      <c r="R40" s="94"/>
      <c r="X40" s="94"/>
      <c r="AD40" s="94"/>
      <c r="AJ40" s="94"/>
      <c r="AP40" s="94"/>
      <c r="AV40" s="94"/>
      <c r="BB40" s="94"/>
    </row>
    <row r="41" spans="6:54">
      <c r="F41" s="94"/>
      <c r="R41" s="94"/>
      <c r="X41" s="94"/>
      <c r="AD41" s="94"/>
      <c r="AJ41" s="94"/>
      <c r="AP41" s="94"/>
      <c r="AV41" s="94"/>
      <c r="BB41" s="94"/>
    </row>
    <row r="42" spans="6:54">
      <c r="F42" s="94"/>
      <c r="R42" s="94"/>
      <c r="X42" s="94"/>
      <c r="AD42" s="94"/>
      <c r="AJ42" s="94"/>
      <c r="AP42" s="94"/>
      <c r="AV42" s="94"/>
      <c r="BB42" s="94"/>
    </row>
    <row r="43" spans="6:54">
      <c r="F43" s="94"/>
      <c r="R43" s="94"/>
      <c r="X43" s="94"/>
      <c r="AD43" s="94"/>
      <c r="AJ43" s="94"/>
      <c r="AP43" s="94"/>
      <c r="AV43" s="94"/>
      <c r="BB43" s="94"/>
    </row>
    <row r="44" spans="6:54">
      <c r="F44" s="94"/>
      <c r="R44" s="94"/>
      <c r="X44" s="94"/>
      <c r="AD44" s="94"/>
      <c r="AJ44" s="94"/>
      <c r="AP44" s="94"/>
      <c r="BB44" s="94"/>
    </row>
    <row r="45" spans="6:54">
      <c r="F45" s="94"/>
      <c r="R45" s="94"/>
      <c r="X45" s="94"/>
      <c r="AD45" s="94"/>
      <c r="AJ45" s="94"/>
      <c r="AP45" s="94"/>
      <c r="BB45" s="94"/>
    </row>
    <row r="46" spans="6:54">
      <c r="F46" s="94"/>
      <c r="R46" s="94"/>
      <c r="X46" s="94"/>
      <c r="AD46" s="94"/>
      <c r="AJ46" s="94"/>
      <c r="AP46" s="94"/>
      <c r="BB46" s="94"/>
    </row>
    <row r="47" spans="6:54">
      <c r="F47" s="94"/>
      <c r="R47" s="94"/>
      <c r="AD47" s="94"/>
      <c r="AJ47" s="94"/>
      <c r="AP47" s="94"/>
      <c r="BB47" s="94"/>
    </row>
    <row r="48" spans="6:54">
      <c r="F48" s="94"/>
      <c r="R48" s="94"/>
      <c r="AD48" s="94"/>
      <c r="AJ48" s="94"/>
      <c r="AP48" s="94"/>
      <c r="BB48" s="94"/>
    </row>
    <row r="49" spans="6:54">
      <c r="F49" s="94"/>
      <c r="R49" s="94"/>
      <c r="AD49" s="94"/>
      <c r="AJ49" s="94"/>
      <c r="AP49" s="94"/>
      <c r="BB49" s="94"/>
    </row>
    <row r="50" spans="6:54">
      <c r="F50" s="94"/>
      <c r="R50" s="94"/>
      <c r="AD50" s="94"/>
      <c r="AJ50" s="94"/>
      <c r="AP50" s="94"/>
      <c r="BB50" s="94"/>
    </row>
    <row r="51" spans="6:54">
      <c r="F51" s="94"/>
      <c r="R51" s="94"/>
      <c r="AD51" s="94"/>
      <c r="AJ51" s="94"/>
      <c r="AP51" s="94"/>
      <c r="BB51" s="94"/>
    </row>
    <row r="52" spans="6:54">
      <c r="F52" s="94"/>
      <c r="R52" s="94"/>
      <c r="AD52" s="94"/>
      <c r="AJ52" s="94"/>
      <c r="AP52" s="94"/>
      <c r="BB52" s="94"/>
    </row>
    <row r="53" spans="6:54">
      <c r="F53" s="94"/>
      <c r="R53" s="94"/>
      <c r="AD53" s="94"/>
      <c r="AJ53" s="94"/>
      <c r="AP53" s="94"/>
      <c r="BB53" s="94"/>
    </row>
    <row r="54" spans="6:54">
      <c r="F54" s="94"/>
      <c r="R54" s="94"/>
      <c r="AD54" s="94"/>
      <c r="AJ54" s="94"/>
      <c r="BB54" s="94"/>
    </row>
    <row r="55" spans="6:54">
      <c r="F55" s="94"/>
      <c r="R55" s="94"/>
      <c r="AD55" s="94"/>
      <c r="AJ55" s="94"/>
      <c r="BB55" s="94"/>
    </row>
    <row r="56" spans="6:54">
      <c r="F56" s="94"/>
      <c r="R56" s="94"/>
      <c r="AD56" s="94"/>
      <c r="AJ56" s="94"/>
      <c r="BB56" s="94"/>
    </row>
    <row r="57" spans="6:54">
      <c r="F57" s="94"/>
      <c r="R57" s="94"/>
      <c r="AD57" s="94"/>
      <c r="AJ57" s="94"/>
      <c r="BB57" s="94"/>
    </row>
    <row r="58" spans="6:54">
      <c r="F58" s="94"/>
      <c r="R58" s="94"/>
      <c r="AD58" s="94"/>
      <c r="AJ58" s="94"/>
      <c r="BB58" s="94"/>
    </row>
    <row r="59" spans="6:54">
      <c r="F59" s="94"/>
      <c r="R59" s="94"/>
      <c r="AD59" s="94"/>
      <c r="BB59" s="94"/>
    </row>
    <row r="60" spans="6:54">
      <c r="F60" s="94"/>
      <c r="R60" s="94"/>
      <c r="AD60" s="94"/>
      <c r="BB60" s="94"/>
    </row>
    <row r="61" spans="6:54">
      <c r="F61" s="94"/>
      <c r="R61" s="94"/>
      <c r="AD61" s="94"/>
      <c r="BB61" s="94"/>
    </row>
    <row r="62" spans="6:54">
      <c r="F62" s="94"/>
      <c r="R62" s="94"/>
      <c r="AD62" s="94"/>
      <c r="BB62" s="94"/>
    </row>
    <row r="63" spans="6:54">
      <c r="F63" s="94"/>
      <c r="R63" s="94"/>
      <c r="BB63" s="94"/>
    </row>
    <row r="64" spans="6:54">
      <c r="F64" s="94"/>
      <c r="R64" s="94"/>
      <c r="BB64" s="94"/>
    </row>
    <row r="65" spans="6:54">
      <c r="F65" s="94"/>
      <c r="R65" s="94"/>
      <c r="BB65" s="94"/>
    </row>
    <row r="66" spans="6:54">
      <c r="F66" s="94"/>
      <c r="R66" s="94"/>
      <c r="BB66" s="94"/>
    </row>
    <row r="67" spans="6:54">
      <c r="F67" s="94"/>
      <c r="R67" s="94"/>
      <c r="BB67" s="94"/>
    </row>
    <row r="68" spans="6:54">
      <c r="F68" s="94"/>
      <c r="R68" s="94"/>
      <c r="BB68" s="94"/>
    </row>
    <row r="69" spans="6:54">
      <c r="F69" s="94"/>
      <c r="R69" s="94"/>
      <c r="BB69" s="94"/>
    </row>
    <row r="70" spans="6:54">
      <c r="F70" s="94"/>
      <c r="R70" s="94"/>
      <c r="BB70" s="94"/>
    </row>
    <row r="71" spans="6:54">
      <c r="F71" s="94"/>
      <c r="R71" s="94"/>
      <c r="BB71" s="94"/>
    </row>
    <row r="72" spans="6:54">
      <c r="F72" s="94"/>
      <c r="R72" s="94"/>
      <c r="BB72" s="94"/>
    </row>
    <row r="73" spans="6:54">
      <c r="F73" s="94"/>
      <c r="R73" s="94"/>
      <c r="BB73" s="94"/>
    </row>
    <row r="74" spans="6:54">
      <c r="F74" s="94"/>
      <c r="R74" s="94"/>
      <c r="BB74" s="94"/>
    </row>
    <row r="75" spans="6:54">
      <c r="F75" s="94"/>
      <c r="R75" s="94"/>
      <c r="BB75" s="94"/>
    </row>
    <row r="76" spans="6:54">
      <c r="F76" s="94"/>
      <c r="R76" s="94"/>
    </row>
    <row r="77" spans="6:54">
      <c r="F77" s="94"/>
      <c r="R77" s="94"/>
    </row>
    <row r="78" spans="6:54">
      <c r="F78" s="94"/>
      <c r="R78" s="94"/>
    </row>
    <row r="79" spans="6:54">
      <c r="F79" s="94"/>
      <c r="R79" s="94"/>
    </row>
    <row r="80" spans="6:54">
      <c r="F80" s="94"/>
      <c r="R80" s="94"/>
    </row>
    <row r="81" spans="6:18">
      <c r="F81" s="94"/>
      <c r="R81" s="94"/>
    </row>
    <row r="82" spans="6:18">
      <c r="F82" s="94"/>
      <c r="R82" s="94"/>
    </row>
    <row r="83" spans="6:18">
      <c r="F83" s="94"/>
      <c r="R83" s="94"/>
    </row>
    <row r="84" spans="6:18">
      <c r="F84" s="94"/>
      <c r="R84" s="94"/>
    </row>
    <row r="85" spans="6:18">
      <c r="F85" s="94"/>
      <c r="R85" s="94"/>
    </row>
    <row r="86" spans="6:18">
      <c r="F86" s="94"/>
      <c r="R86" s="94"/>
    </row>
    <row r="87" spans="6:18">
      <c r="F87" s="94"/>
      <c r="R87" s="94"/>
    </row>
    <row r="88" spans="6:18">
      <c r="F88" s="94"/>
      <c r="R88" s="94"/>
    </row>
    <row r="89" spans="6:18">
      <c r="F89" s="94"/>
      <c r="R89" s="94"/>
    </row>
    <row r="90" spans="6:18">
      <c r="F90" s="94"/>
      <c r="R90" s="94"/>
    </row>
    <row r="91" spans="6:18">
      <c r="F91" s="94"/>
      <c r="R91" s="94"/>
    </row>
    <row r="92" spans="6:18">
      <c r="F92" s="94"/>
      <c r="R92" s="94"/>
    </row>
    <row r="93" spans="6:18">
      <c r="F93" s="94"/>
      <c r="R93" s="94"/>
    </row>
    <row r="94" spans="6:18">
      <c r="F94" s="94"/>
      <c r="R94" s="94"/>
    </row>
    <row r="95" spans="6:18">
      <c r="F95" s="94"/>
      <c r="R95" s="94"/>
    </row>
    <row r="96" spans="6:18">
      <c r="F96" s="94"/>
      <c r="R96" s="94"/>
    </row>
    <row r="97" spans="6:18">
      <c r="F97" s="94"/>
      <c r="R97" s="94"/>
    </row>
    <row r="98" spans="6:18">
      <c r="F98" s="94"/>
      <c r="R98" s="94"/>
    </row>
    <row r="99" spans="6:18">
      <c r="F99" s="94"/>
      <c r="R99" s="94"/>
    </row>
    <row r="100" spans="6:18">
      <c r="F100" s="94"/>
      <c r="R100" s="94"/>
    </row>
    <row r="101" spans="6:18">
      <c r="F101" s="94"/>
      <c r="R101" s="94"/>
    </row>
    <row r="102" spans="6:18">
      <c r="F102" s="94"/>
      <c r="R102" s="94"/>
    </row>
    <row r="103" spans="6:18">
      <c r="F103" s="94"/>
      <c r="R103" s="94"/>
    </row>
    <row r="104" spans="6:18">
      <c r="F104" s="94"/>
      <c r="R104" s="94"/>
    </row>
    <row r="105" spans="6:18">
      <c r="F105" s="94"/>
      <c r="R105" s="94"/>
    </row>
    <row r="106" spans="6:18">
      <c r="F106" s="94"/>
      <c r="R106" s="94"/>
    </row>
    <row r="107" spans="6:18">
      <c r="F107" s="94"/>
      <c r="R107" s="94"/>
    </row>
    <row r="108" spans="6:18">
      <c r="F108" s="94"/>
      <c r="R108" s="94"/>
    </row>
    <row r="109" spans="6:18">
      <c r="F109" s="94"/>
      <c r="R109" s="94"/>
    </row>
    <row r="110" spans="6:18">
      <c r="F110" s="94"/>
      <c r="R110" s="94"/>
    </row>
    <row r="111" spans="6:18">
      <c r="F111" s="94"/>
      <c r="R111" s="94"/>
    </row>
    <row r="112" spans="6:18">
      <c r="F112" s="94"/>
      <c r="R112" s="94"/>
    </row>
    <row r="113" spans="6:18">
      <c r="F113" s="94"/>
      <c r="R113" s="94"/>
    </row>
    <row r="114" spans="6:18">
      <c r="F114" s="94"/>
      <c r="R114" s="94"/>
    </row>
    <row r="115" spans="6:18">
      <c r="F115" s="94"/>
      <c r="R115" s="94"/>
    </row>
    <row r="116" spans="6:18">
      <c r="F116" s="94"/>
      <c r="R116" s="94"/>
    </row>
    <row r="117" spans="6:18">
      <c r="F117" s="94"/>
      <c r="R117" s="94"/>
    </row>
    <row r="118" spans="6:18">
      <c r="F118" s="94"/>
      <c r="R118" s="94"/>
    </row>
    <row r="119" spans="6:18">
      <c r="F119" s="94"/>
    </row>
    <row r="120" spans="6:18">
      <c r="F120" s="94"/>
    </row>
    <row r="121" spans="6:18">
      <c r="F121" s="94"/>
    </row>
    <row r="122" spans="6:18">
      <c r="F122" s="94"/>
    </row>
    <row r="123" spans="6:18">
      <c r="F123" s="94"/>
    </row>
    <row r="124" spans="6:18">
      <c r="F124" s="94"/>
    </row>
    <row r="125" spans="6:18">
      <c r="F125" s="94"/>
    </row>
    <row r="126" spans="6:18">
      <c r="F126" s="94"/>
    </row>
    <row r="127" spans="6:18">
      <c r="F127" s="94"/>
    </row>
    <row r="128" spans="6:18">
      <c r="F128" s="94"/>
    </row>
    <row r="129" spans="6:6">
      <c r="F129" s="94"/>
    </row>
    <row r="130" spans="6:6">
      <c r="F130" s="94"/>
    </row>
    <row r="131" spans="6:6">
      <c r="F131" s="94"/>
    </row>
    <row r="132" spans="6:6">
      <c r="F132" s="94"/>
    </row>
    <row r="133" spans="6:6">
      <c r="F133" s="94"/>
    </row>
    <row r="134" spans="6:6">
      <c r="F134" s="94"/>
    </row>
    <row r="135" spans="6:6">
      <c r="F135" s="94"/>
    </row>
    <row r="136" spans="6:6">
      <c r="F136" s="94"/>
    </row>
    <row r="137" spans="6:6">
      <c r="F137" s="94"/>
    </row>
    <row r="138" spans="6:6">
      <c r="F138" s="94"/>
    </row>
    <row r="139" spans="6:6">
      <c r="F139" s="94"/>
    </row>
    <row r="140" spans="6:6">
      <c r="F140" s="94"/>
    </row>
    <row r="141" spans="6:6">
      <c r="F141" s="94"/>
    </row>
    <row r="142" spans="6:6">
      <c r="F142" s="94"/>
    </row>
    <row r="143" spans="6:6">
      <c r="F143" s="94"/>
    </row>
    <row r="144" spans="6:6">
      <c r="F144" s="94"/>
    </row>
    <row r="145" spans="6:6">
      <c r="F145" s="94"/>
    </row>
    <row r="146" spans="6:6">
      <c r="F146" s="94"/>
    </row>
    <row r="147" spans="6:6">
      <c r="F147" s="94"/>
    </row>
    <row r="148" spans="6:6">
      <c r="F148" s="94"/>
    </row>
    <row r="149" spans="6:6">
      <c r="F149" s="94"/>
    </row>
    <row r="150" spans="6:6">
      <c r="F150" s="94"/>
    </row>
    <row r="151" spans="6:6">
      <c r="F151" s="94"/>
    </row>
    <row r="152" spans="6:6">
      <c r="F152" s="94"/>
    </row>
    <row r="153" spans="6:6">
      <c r="F153" s="94"/>
    </row>
    <row r="154" spans="6:6">
      <c r="F154" s="94"/>
    </row>
    <row r="155" spans="6:6">
      <c r="F155" s="94"/>
    </row>
    <row r="156" spans="6:6">
      <c r="F156" s="94"/>
    </row>
    <row r="157" spans="6:6">
      <c r="F157" s="94"/>
    </row>
    <row r="158" spans="6:6">
      <c r="F158" s="94"/>
    </row>
    <row r="159" spans="6:6">
      <c r="F159" s="94"/>
    </row>
    <row r="160" spans="6:6">
      <c r="F160" s="94"/>
    </row>
    <row r="161" spans="6:6">
      <c r="F161" s="94"/>
    </row>
    <row r="162" spans="6:6">
      <c r="F162" s="94"/>
    </row>
    <row r="163" spans="6:6">
      <c r="F163" s="94"/>
    </row>
    <row r="164" spans="6:6">
      <c r="F164" s="94"/>
    </row>
    <row r="165" spans="6:6">
      <c r="F165" s="94"/>
    </row>
    <row r="166" spans="6:6">
      <c r="F166" s="94"/>
    </row>
    <row r="167" spans="6:6">
      <c r="F167" s="94"/>
    </row>
    <row r="168" spans="6:6">
      <c r="F168" s="94"/>
    </row>
    <row r="169" spans="6:6">
      <c r="F169" s="94"/>
    </row>
    <row r="170" spans="6:6">
      <c r="F170" s="94"/>
    </row>
    <row r="171" spans="6:6">
      <c r="F171" s="94"/>
    </row>
    <row r="172" spans="6:6">
      <c r="F172" s="94"/>
    </row>
    <row r="173" spans="6:6">
      <c r="F173" s="94"/>
    </row>
    <row r="174" spans="6:6">
      <c r="F174" s="94"/>
    </row>
    <row r="175" spans="6:6">
      <c r="F175" s="94"/>
    </row>
    <row r="176" spans="6:6">
      <c r="F176" s="94"/>
    </row>
    <row r="177" spans="6:6">
      <c r="F177" s="94"/>
    </row>
    <row r="178" spans="6:6">
      <c r="F178" s="94"/>
    </row>
    <row r="179" spans="6:6">
      <c r="F179" s="94"/>
    </row>
    <row r="180" spans="6:6">
      <c r="F180" s="94"/>
    </row>
    <row r="181" spans="6:6">
      <c r="F181" s="94"/>
    </row>
    <row r="182" spans="6:6">
      <c r="F182" s="94"/>
    </row>
    <row r="183" spans="6:6">
      <c r="F183" s="94"/>
    </row>
    <row r="184" spans="6:6">
      <c r="F184" s="94"/>
    </row>
    <row r="185" spans="6:6">
      <c r="F185" s="94"/>
    </row>
    <row r="186" spans="6:6">
      <c r="F186" s="94"/>
    </row>
    <row r="187" spans="6:6">
      <c r="F187" s="94"/>
    </row>
    <row r="188" spans="6:6">
      <c r="F188" s="94"/>
    </row>
    <row r="189" spans="6:6">
      <c r="F189" s="94"/>
    </row>
    <row r="190" spans="6:6">
      <c r="F190" s="94"/>
    </row>
    <row r="191" spans="6:6">
      <c r="F191" s="94"/>
    </row>
    <row r="192" spans="6:6">
      <c r="F192" s="94"/>
    </row>
    <row r="193" spans="6:6">
      <c r="F193" s="94"/>
    </row>
    <row r="194" spans="6:6">
      <c r="F194" s="94"/>
    </row>
    <row r="195" spans="6:6">
      <c r="F195" s="94"/>
    </row>
    <row r="196" spans="6:6">
      <c r="F196" s="94"/>
    </row>
    <row r="197" spans="6:6">
      <c r="F197" s="94"/>
    </row>
    <row r="198" spans="6:6">
      <c r="F198" s="94"/>
    </row>
    <row r="199" spans="6:6">
      <c r="F199" s="94"/>
    </row>
    <row r="200" spans="6:6">
      <c r="F200" s="94"/>
    </row>
    <row r="201" spans="6:6">
      <c r="F201" s="94"/>
    </row>
    <row r="202" spans="6:6">
      <c r="F202" s="94"/>
    </row>
    <row r="203" spans="6:6">
      <c r="F203" s="94"/>
    </row>
    <row r="204" spans="6:6">
      <c r="F204" s="94"/>
    </row>
    <row r="205" spans="6:6">
      <c r="F205" s="94"/>
    </row>
    <row r="206" spans="6:6">
      <c r="F206" s="94"/>
    </row>
    <row r="207" spans="6:6">
      <c r="F207" s="94"/>
    </row>
    <row r="208" spans="6:6">
      <c r="F208" s="94"/>
    </row>
    <row r="209" spans="6:6">
      <c r="F209" s="94"/>
    </row>
    <row r="210" spans="6:6">
      <c r="F210" s="94"/>
    </row>
    <row r="211" spans="6:6">
      <c r="F211" s="94"/>
    </row>
    <row r="212" spans="6:6">
      <c r="F212" s="94"/>
    </row>
    <row r="213" spans="6:6">
      <c r="F213" s="94"/>
    </row>
    <row r="214" spans="6:6">
      <c r="F214" s="94"/>
    </row>
    <row r="215" spans="6:6">
      <c r="F215" s="94"/>
    </row>
    <row r="216" spans="6:6">
      <c r="F216" s="94"/>
    </row>
    <row r="217" spans="6:6">
      <c r="F217" s="94"/>
    </row>
    <row r="218" spans="6:6">
      <c r="F218" s="94"/>
    </row>
    <row r="219" spans="6:6">
      <c r="F219" s="94"/>
    </row>
    <row r="220" spans="6:6">
      <c r="F220" s="94"/>
    </row>
    <row r="221" spans="6:6">
      <c r="F221" s="94"/>
    </row>
    <row r="222" spans="6:6">
      <c r="F222" s="94"/>
    </row>
    <row r="223" spans="6:6">
      <c r="F223" s="94"/>
    </row>
    <row r="224" spans="6:6">
      <c r="F224" s="94"/>
    </row>
    <row r="225" spans="6:6">
      <c r="F225" s="94"/>
    </row>
    <row r="226" spans="6:6">
      <c r="F226" s="94"/>
    </row>
    <row r="227" spans="6:6">
      <c r="F227" s="94"/>
    </row>
    <row r="228" spans="6:6">
      <c r="F228" s="94"/>
    </row>
    <row r="229" spans="6:6">
      <c r="F229" s="94"/>
    </row>
    <row r="230" spans="6:6">
      <c r="F230" s="94"/>
    </row>
    <row r="231" spans="6:6">
      <c r="F231" s="94"/>
    </row>
    <row r="232" spans="6:6">
      <c r="F232" s="94"/>
    </row>
    <row r="233" spans="6:6">
      <c r="F233" s="94"/>
    </row>
    <row r="234" spans="6:6">
      <c r="F234" s="94"/>
    </row>
    <row r="235" spans="6:6">
      <c r="F235" s="94"/>
    </row>
    <row r="236" spans="6:6">
      <c r="F236" s="94"/>
    </row>
    <row r="237" spans="6:6">
      <c r="F237" s="94"/>
    </row>
    <row r="238" spans="6:6">
      <c r="F238" s="94"/>
    </row>
    <row r="239" spans="6:6">
      <c r="F239" s="94"/>
    </row>
    <row r="240" spans="6:6">
      <c r="F240" s="94"/>
    </row>
    <row r="241" spans="6:6">
      <c r="F241" s="94"/>
    </row>
    <row r="242" spans="6:6">
      <c r="F242" s="94"/>
    </row>
    <row r="243" spans="6:6">
      <c r="F243" s="94"/>
    </row>
    <row r="244" spans="6:6">
      <c r="F244" s="94"/>
    </row>
    <row r="245" spans="6:6">
      <c r="F245" s="94"/>
    </row>
    <row r="246" spans="6:6">
      <c r="F246" s="94"/>
    </row>
    <row r="247" spans="6:6">
      <c r="F247" s="94"/>
    </row>
    <row r="248" spans="6:6">
      <c r="F248" s="94"/>
    </row>
    <row r="249" spans="6:6">
      <c r="F249" s="94"/>
    </row>
    <row r="250" spans="6:6">
      <c r="F250" s="94"/>
    </row>
    <row r="251" spans="6:6">
      <c r="F251" s="94"/>
    </row>
    <row r="252" spans="6:6">
      <c r="F252" s="94"/>
    </row>
    <row r="253" spans="6:6">
      <c r="F253" s="94"/>
    </row>
    <row r="254" spans="6:6">
      <c r="F254" s="94"/>
    </row>
    <row r="255" spans="6:6">
      <c r="F255" s="94"/>
    </row>
    <row r="256" spans="6:6">
      <c r="F256" s="94"/>
    </row>
    <row r="257" spans="6:6">
      <c r="F257" s="94"/>
    </row>
    <row r="258" spans="6:6">
      <c r="F258" s="94"/>
    </row>
    <row r="259" spans="6:6">
      <c r="F259" s="94"/>
    </row>
    <row r="260" spans="6:6">
      <c r="F260" s="94"/>
    </row>
    <row r="261" spans="6:6">
      <c r="F261" s="94"/>
    </row>
    <row r="262" spans="6:6">
      <c r="F262" s="94"/>
    </row>
    <row r="263" spans="6:6">
      <c r="F263" s="94"/>
    </row>
    <row r="264" spans="6:6">
      <c r="F264" s="94"/>
    </row>
    <row r="265" spans="6:6">
      <c r="F265" s="94"/>
    </row>
    <row r="266" spans="6:6">
      <c r="F266" s="94"/>
    </row>
    <row r="267" spans="6:6">
      <c r="F267" s="94"/>
    </row>
    <row r="268" spans="6:6">
      <c r="F268" s="94"/>
    </row>
    <row r="269" spans="6:6">
      <c r="F269" s="94"/>
    </row>
    <row r="270" spans="6:6">
      <c r="F270" s="94"/>
    </row>
    <row r="271" spans="6:6">
      <c r="F271" s="94"/>
    </row>
    <row r="272" spans="6:6">
      <c r="F272" s="94"/>
    </row>
    <row r="273" spans="6:6">
      <c r="F273" s="94"/>
    </row>
    <row r="274" spans="6:6">
      <c r="F274" s="94"/>
    </row>
    <row r="275" spans="6:6">
      <c r="F275" s="94"/>
    </row>
    <row r="276" spans="6:6">
      <c r="F276" s="94"/>
    </row>
    <row r="277" spans="6:6">
      <c r="F277" s="94"/>
    </row>
    <row r="278" spans="6:6">
      <c r="F278" s="94"/>
    </row>
    <row r="279" spans="6:6">
      <c r="F279" s="94"/>
    </row>
    <row r="280" spans="6:6">
      <c r="F280" s="94"/>
    </row>
    <row r="281" spans="6:6">
      <c r="F281" s="94"/>
    </row>
    <row r="282" spans="6:6">
      <c r="F282" s="94"/>
    </row>
    <row r="283" spans="6:6">
      <c r="F283" s="94"/>
    </row>
    <row r="284" spans="6:6">
      <c r="F284" s="94"/>
    </row>
    <row r="285" spans="6:6">
      <c r="F285" s="94"/>
    </row>
    <row r="286" spans="6:6">
      <c r="F286" s="94"/>
    </row>
    <row r="287" spans="6:6">
      <c r="F287" s="94"/>
    </row>
    <row r="288" spans="6:6">
      <c r="F288" s="94"/>
    </row>
    <row r="289" spans="6:6">
      <c r="F289" s="94"/>
    </row>
    <row r="290" spans="6:6">
      <c r="F290" s="94"/>
    </row>
    <row r="291" spans="6:6">
      <c r="F291" s="94"/>
    </row>
    <row r="292" spans="6:6">
      <c r="F292" s="94"/>
    </row>
    <row r="293" spans="6:6">
      <c r="F293" s="94"/>
    </row>
    <row r="294" spans="6:6">
      <c r="F294" s="94"/>
    </row>
    <row r="295" spans="6:6">
      <c r="F295" s="94"/>
    </row>
    <row r="296" spans="6:6">
      <c r="F296" s="94"/>
    </row>
    <row r="297" spans="6:6">
      <c r="F297" s="94"/>
    </row>
    <row r="298" spans="6:6">
      <c r="F298" s="94"/>
    </row>
    <row r="299" spans="6:6">
      <c r="F299" s="94"/>
    </row>
    <row r="300" spans="6:6">
      <c r="F300" s="94"/>
    </row>
    <row r="301" spans="6:6">
      <c r="F301" s="94"/>
    </row>
    <row r="302" spans="6:6">
      <c r="F302" s="94"/>
    </row>
    <row r="303" spans="6:6">
      <c r="F303" s="94"/>
    </row>
    <row r="304" spans="6:6">
      <c r="F304" s="94"/>
    </row>
    <row r="305" spans="6:6">
      <c r="F305" s="94"/>
    </row>
    <row r="306" spans="6:6">
      <c r="F306" s="94"/>
    </row>
    <row r="307" spans="6:6">
      <c r="F307" s="94"/>
    </row>
    <row r="308" spans="6:6">
      <c r="F308" s="94"/>
    </row>
    <row r="309" spans="6:6">
      <c r="F309" s="94"/>
    </row>
    <row r="310" spans="6:6">
      <c r="F310" s="94"/>
    </row>
    <row r="311" spans="6:6">
      <c r="F311" s="94"/>
    </row>
    <row r="312" spans="6:6">
      <c r="F312" s="94"/>
    </row>
    <row r="313" spans="6:6">
      <c r="F313" s="94"/>
    </row>
    <row r="314" spans="6:6">
      <c r="F314" s="94"/>
    </row>
    <row r="315" spans="6:6">
      <c r="F315" s="94"/>
    </row>
    <row r="316" spans="6:6">
      <c r="F316" s="94"/>
    </row>
    <row r="317" spans="6:6">
      <c r="F317" s="94"/>
    </row>
    <row r="318" spans="6:6">
      <c r="F318" s="94"/>
    </row>
    <row r="319" spans="6:6">
      <c r="F319" s="94"/>
    </row>
    <row r="320" spans="6:6">
      <c r="F320" s="94"/>
    </row>
    <row r="321" spans="6:6">
      <c r="F321" s="94"/>
    </row>
    <row r="322" spans="6:6">
      <c r="F322" s="94"/>
    </row>
    <row r="323" spans="6:6">
      <c r="F323" s="94"/>
    </row>
    <row r="324" spans="6:6">
      <c r="F324" s="94"/>
    </row>
    <row r="325" spans="6:6">
      <c r="F325" s="94"/>
    </row>
    <row r="326" spans="6:6">
      <c r="F326" s="94"/>
    </row>
    <row r="327" spans="6:6">
      <c r="F327" s="94"/>
    </row>
    <row r="328" spans="6:6">
      <c r="F328" s="94"/>
    </row>
    <row r="329" spans="6:6">
      <c r="F329" s="94"/>
    </row>
    <row r="330" spans="6:6">
      <c r="F330" s="94"/>
    </row>
    <row r="331" spans="6:6">
      <c r="F331" s="94"/>
    </row>
    <row r="332" spans="6:6">
      <c r="F332" s="94"/>
    </row>
    <row r="333" spans="6:6">
      <c r="F333" s="94"/>
    </row>
    <row r="334" spans="6:6">
      <c r="F334" s="94"/>
    </row>
    <row r="335" spans="6:6">
      <c r="F335" s="94"/>
    </row>
    <row r="336" spans="6:6">
      <c r="F336" s="94"/>
    </row>
    <row r="337" spans="6:6">
      <c r="F337" s="94"/>
    </row>
    <row r="338" spans="6:6">
      <c r="F338" s="94"/>
    </row>
    <row r="339" spans="6:6">
      <c r="F339" s="94"/>
    </row>
    <row r="340" spans="6:6">
      <c r="F340" s="94"/>
    </row>
    <row r="341" spans="6:6">
      <c r="F341" s="94"/>
    </row>
    <row r="342" spans="6:6">
      <c r="F342" s="94"/>
    </row>
    <row r="343" spans="6:6">
      <c r="F343" s="94"/>
    </row>
    <row r="344" spans="6:6">
      <c r="F344" s="94"/>
    </row>
    <row r="345" spans="6:6">
      <c r="F345" s="94"/>
    </row>
    <row r="346" spans="6:6">
      <c r="F346" s="94"/>
    </row>
    <row r="347" spans="6:6">
      <c r="F347" s="94"/>
    </row>
    <row r="348" spans="6:6">
      <c r="F348" s="94"/>
    </row>
    <row r="349" spans="6:6">
      <c r="F349" s="94"/>
    </row>
    <row r="350" spans="6:6">
      <c r="F350" s="94"/>
    </row>
    <row r="351" spans="6:6">
      <c r="F351" s="94"/>
    </row>
    <row r="352" spans="6:6">
      <c r="F352" s="94"/>
    </row>
    <row r="353" spans="6:6">
      <c r="F353" s="94"/>
    </row>
    <row r="354" spans="6:6">
      <c r="F354" s="94"/>
    </row>
    <row r="355" spans="6:6">
      <c r="F355" s="94"/>
    </row>
    <row r="356" spans="6:6">
      <c r="F356" s="94"/>
    </row>
    <row r="357" spans="6:6">
      <c r="F357" s="94"/>
    </row>
    <row r="358" spans="6:6">
      <c r="F358" s="94"/>
    </row>
    <row r="359" spans="6:6">
      <c r="F359" s="94"/>
    </row>
    <row r="360" spans="6:6">
      <c r="F360" s="94"/>
    </row>
    <row r="361" spans="6:6">
      <c r="F361" s="94"/>
    </row>
    <row r="362" spans="6:6">
      <c r="F362" s="94"/>
    </row>
    <row r="363" spans="6:6">
      <c r="F363" s="94"/>
    </row>
    <row r="364" spans="6:6">
      <c r="F364" s="94"/>
    </row>
    <row r="365" spans="6:6">
      <c r="F365" s="94"/>
    </row>
    <row r="366" spans="6:6">
      <c r="F366" s="94"/>
    </row>
    <row r="367" spans="6:6">
      <c r="F367" s="9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sheetPr codeName="Sheet5"/>
  <dimension ref="B1:AB77"/>
  <sheetViews>
    <sheetView showGridLines="0" workbookViewId="0"/>
  </sheetViews>
  <sheetFormatPr defaultRowHeight="17.399999999999999"/>
  <cols>
    <col min="1" max="16384" width="8.796875" style="77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81"/>
      <c r="C4" s="82"/>
      <c r="D4" s="82"/>
      <c r="E4" s="82"/>
      <c r="F4" s="82"/>
      <c r="G4" s="82"/>
      <c r="I4" s="81"/>
      <c r="J4" s="82"/>
      <c r="K4" s="82"/>
      <c r="L4" s="82"/>
      <c r="M4" s="82"/>
      <c r="N4" s="82"/>
      <c r="P4" s="81"/>
      <c r="Q4" s="82"/>
      <c r="R4" s="82"/>
      <c r="S4" s="82"/>
      <c r="T4" s="82"/>
      <c r="U4" s="82"/>
      <c r="W4" s="81"/>
      <c r="X4" s="82"/>
      <c r="Y4" s="82"/>
      <c r="Z4" s="82"/>
      <c r="AA4" s="82"/>
      <c r="AB4" s="82"/>
    </row>
    <row r="5" spans="2:28" ht="19.95" customHeight="1">
      <c r="B5" s="83"/>
      <c r="C5" s="83"/>
      <c r="D5" s="83"/>
      <c r="E5" s="83"/>
      <c r="F5" s="83"/>
      <c r="G5" s="83"/>
      <c r="I5" s="83"/>
      <c r="J5" s="83"/>
      <c r="K5" s="83"/>
      <c r="L5" s="83"/>
      <c r="M5" s="83"/>
      <c r="N5" s="83"/>
      <c r="P5" s="83"/>
      <c r="Q5" s="83"/>
      <c r="R5" s="83"/>
      <c r="S5" s="83"/>
      <c r="T5" s="83"/>
      <c r="U5" s="83"/>
      <c r="W5" s="83"/>
      <c r="X5" s="83"/>
      <c r="Y5" s="83"/>
      <c r="Z5" s="83"/>
      <c r="AA5" s="83"/>
      <c r="AB5" s="83"/>
    </row>
    <row r="6" spans="2:28">
      <c r="G6" s="80"/>
      <c r="N6" s="80"/>
      <c r="U6" s="80"/>
      <c r="AB6" s="80"/>
    </row>
    <row r="7" spans="2:28">
      <c r="G7" s="80"/>
      <c r="N7" s="80"/>
      <c r="U7" s="80"/>
      <c r="AB7" s="80"/>
    </row>
    <row r="8" spans="2:28">
      <c r="G8" s="80"/>
      <c r="N8" s="80"/>
      <c r="U8" s="80"/>
      <c r="AB8" s="80"/>
    </row>
    <row r="9" spans="2:28">
      <c r="G9" s="80"/>
      <c r="N9" s="80"/>
      <c r="U9" s="80"/>
      <c r="AB9" s="80"/>
    </row>
    <row r="10" spans="2:28">
      <c r="G10" s="80"/>
      <c r="N10" s="80"/>
      <c r="U10" s="80"/>
      <c r="AB10" s="80"/>
    </row>
    <row r="11" spans="2:28">
      <c r="G11" s="80"/>
      <c r="N11" s="80"/>
      <c r="U11" s="80"/>
      <c r="AB11" s="80"/>
    </row>
    <row r="12" spans="2:28">
      <c r="G12" s="80"/>
      <c r="N12" s="80"/>
      <c r="U12" s="80"/>
      <c r="AB12" s="80"/>
    </row>
    <row r="13" spans="2:28">
      <c r="G13" s="80"/>
      <c r="N13" s="80"/>
      <c r="U13" s="80"/>
      <c r="AB13" s="80"/>
    </row>
    <row r="14" spans="2:28">
      <c r="G14" s="80"/>
      <c r="N14" s="80"/>
      <c r="U14" s="80"/>
      <c r="AB14" s="80"/>
    </row>
    <row r="15" spans="2:28">
      <c r="G15" s="80"/>
      <c r="N15" s="80"/>
      <c r="U15" s="80"/>
      <c r="AB15" s="80"/>
    </row>
    <row r="16" spans="2:28">
      <c r="G16" s="80"/>
      <c r="N16" s="80"/>
      <c r="U16" s="80"/>
      <c r="AB16" s="80"/>
    </row>
    <row r="17" spans="7:28">
      <c r="G17" s="80"/>
      <c r="N17" s="80"/>
      <c r="U17" s="80"/>
      <c r="AB17" s="80"/>
    </row>
    <row r="18" spans="7:28">
      <c r="G18" s="80"/>
      <c r="N18" s="80"/>
      <c r="U18" s="80"/>
      <c r="AB18" s="80"/>
    </row>
    <row r="19" spans="7:28">
      <c r="G19" s="80"/>
      <c r="N19" s="80"/>
      <c r="U19" s="80"/>
      <c r="AB19" s="80"/>
    </row>
    <row r="20" spans="7:28">
      <c r="G20" s="80"/>
      <c r="N20" s="80"/>
      <c r="U20" s="80"/>
      <c r="AB20" s="80"/>
    </row>
    <row r="21" spans="7:28">
      <c r="G21" s="80"/>
      <c r="N21" s="80"/>
      <c r="U21" s="80"/>
      <c r="AB21" s="80"/>
    </row>
    <row r="22" spans="7:28">
      <c r="G22" s="80"/>
      <c r="N22" s="80"/>
      <c r="U22" s="80"/>
      <c r="AB22" s="80"/>
    </row>
    <row r="23" spans="7:28">
      <c r="G23" s="80"/>
      <c r="N23" s="80"/>
      <c r="U23" s="80"/>
      <c r="AB23" s="80"/>
    </row>
    <row r="24" spans="7:28">
      <c r="G24" s="80"/>
      <c r="N24" s="80"/>
      <c r="U24" s="80"/>
      <c r="AB24" s="80"/>
    </row>
    <row r="25" spans="7:28">
      <c r="G25" s="80"/>
      <c r="N25" s="80"/>
      <c r="U25" s="80"/>
      <c r="AB25" s="80"/>
    </row>
    <row r="26" spans="7:28">
      <c r="G26" s="80"/>
      <c r="N26" s="80"/>
      <c r="U26" s="80"/>
      <c r="AB26" s="80"/>
    </row>
    <row r="27" spans="7:28">
      <c r="G27" s="80"/>
      <c r="N27" s="80"/>
      <c r="U27" s="80"/>
      <c r="AB27" s="80"/>
    </row>
    <row r="28" spans="7:28">
      <c r="G28" s="80"/>
      <c r="N28" s="80"/>
      <c r="U28" s="80"/>
      <c r="AB28" s="80"/>
    </row>
    <row r="29" spans="7:28">
      <c r="G29" s="80"/>
      <c r="N29" s="80"/>
      <c r="U29" s="80"/>
      <c r="AB29" s="80"/>
    </row>
    <row r="30" spans="7:28">
      <c r="G30" s="80"/>
      <c r="N30" s="80"/>
      <c r="U30" s="80"/>
      <c r="AB30" s="80"/>
    </row>
    <row r="31" spans="7:28">
      <c r="G31" s="80"/>
      <c r="N31" s="80"/>
      <c r="U31" s="80"/>
      <c r="AB31" s="80"/>
    </row>
    <row r="32" spans="7:28">
      <c r="G32" s="80"/>
      <c r="N32" s="80"/>
      <c r="U32" s="80"/>
      <c r="AB32" s="80"/>
    </row>
    <row r="33" spans="7:28">
      <c r="G33" s="80"/>
      <c r="N33" s="80"/>
      <c r="U33" s="80"/>
      <c r="AB33" s="80"/>
    </row>
    <row r="34" spans="7:28">
      <c r="G34" s="80"/>
      <c r="N34" s="80"/>
      <c r="U34" s="80"/>
    </row>
    <row r="35" spans="7:28">
      <c r="G35" s="80"/>
      <c r="N35" s="80"/>
      <c r="U35" s="80"/>
    </row>
    <row r="36" spans="7:28">
      <c r="G36" s="80"/>
      <c r="N36" s="80"/>
      <c r="U36" s="80"/>
    </row>
    <row r="37" spans="7:28">
      <c r="G37" s="80"/>
      <c r="N37" s="80"/>
      <c r="U37" s="80"/>
    </row>
    <row r="38" spans="7:28">
      <c r="G38" s="80"/>
      <c r="N38" s="80"/>
      <c r="U38" s="80"/>
    </row>
    <row r="39" spans="7:28">
      <c r="G39" s="80"/>
      <c r="N39" s="80"/>
      <c r="U39" s="80"/>
    </row>
    <row r="40" spans="7:28">
      <c r="G40" s="80"/>
      <c r="N40" s="80"/>
      <c r="U40" s="80"/>
    </row>
    <row r="41" spans="7:28">
      <c r="G41" s="80"/>
      <c r="N41" s="80"/>
      <c r="U41" s="80"/>
    </row>
    <row r="42" spans="7:28">
      <c r="G42" s="80"/>
      <c r="N42" s="80"/>
      <c r="U42" s="80"/>
    </row>
    <row r="43" spans="7:28">
      <c r="G43" s="80"/>
      <c r="N43" s="80"/>
    </row>
    <row r="44" spans="7:28">
      <c r="G44" s="80"/>
      <c r="N44" s="80"/>
    </row>
    <row r="45" spans="7:28">
      <c r="G45" s="80"/>
      <c r="N45" s="80"/>
    </row>
    <row r="46" spans="7:28">
      <c r="G46" s="80"/>
      <c r="N46" s="80"/>
    </row>
    <row r="47" spans="7:28">
      <c r="G47" s="80"/>
      <c r="N47" s="80"/>
    </row>
    <row r="48" spans="7:28">
      <c r="G48" s="80"/>
      <c r="N48" s="80"/>
    </row>
    <row r="49" spans="7:14">
      <c r="G49" s="80"/>
      <c r="N49" s="80"/>
    </row>
    <row r="50" spans="7:14">
      <c r="G50" s="80"/>
      <c r="N50" s="80"/>
    </row>
    <row r="51" spans="7:14">
      <c r="G51" s="80"/>
      <c r="N51" s="80"/>
    </row>
    <row r="52" spans="7:14">
      <c r="G52" s="80"/>
      <c r="N52" s="80"/>
    </row>
    <row r="53" spans="7:14">
      <c r="G53" s="80"/>
      <c r="N53" s="80"/>
    </row>
    <row r="54" spans="7:14">
      <c r="G54" s="80"/>
      <c r="N54" s="80"/>
    </row>
    <row r="55" spans="7:14">
      <c r="G55" s="80"/>
      <c r="N55" s="80"/>
    </row>
    <row r="56" spans="7:14">
      <c r="G56" s="80"/>
      <c r="N56" s="80"/>
    </row>
    <row r="57" spans="7:14">
      <c r="G57" s="80"/>
      <c r="N57" s="80"/>
    </row>
    <row r="58" spans="7:14">
      <c r="G58" s="80"/>
      <c r="N58" s="80"/>
    </row>
    <row r="59" spans="7:14">
      <c r="G59" s="80"/>
      <c r="N59" s="80"/>
    </row>
    <row r="60" spans="7:14">
      <c r="G60" s="80"/>
      <c r="N60" s="80"/>
    </row>
    <row r="61" spans="7:14">
      <c r="G61" s="80"/>
      <c r="N61" s="80"/>
    </row>
    <row r="62" spans="7:14">
      <c r="G62" s="80"/>
      <c r="N62" s="80"/>
    </row>
    <row r="63" spans="7:14">
      <c r="N63" s="80"/>
    </row>
    <row r="64" spans="7:14">
      <c r="N64" s="80"/>
    </row>
    <row r="65" spans="14:14">
      <c r="N65" s="80"/>
    </row>
    <row r="66" spans="14:14">
      <c r="N66" s="80"/>
    </row>
    <row r="67" spans="14:14">
      <c r="N67" s="80"/>
    </row>
    <row r="68" spans="14:14">
      <c r="N68" s="80"/>
    </row>
    <row r="69" spans="14:14">
      <c r="N69" s="80"/>
    </row>
    <row r="70" spans="14:14">
      <c r="N70" s="80"/>
    </row>
    <row r="71" spans="14:14">
      <c r="N71" s="80"/>
    </row>
    <row r="72" spans="14:14">
      <c r="N72" s="80"/>
    </row>
    <row r="73" spans="14:14">
      <c r="N73" s="80"/>
    </row>
    <row r="74" spans="14:14">
      <c r="N74" s="80"/>
    </row>
    <row r="75" spans="14:14">
      <c r="N75" s="80"/>
    </row>
    <row r="76" spans="14:14">
      <c r="N76" s="80"/>
    </row>
    <row r="77" spans="14:14">
      <c r="N77" s="8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KK383"/>
  <sheetViews>
    <sheetView showGridLines="0" workbookViewId="0"/>
  </sheetViews>
  <sheetFormatPr defaultRowHeight="17.399999999999999"/>
  <cols>
    <col min="1" max="16384" width="8.796875" style="77"/>
  </cols>
  <sheetData>
    <row r="1" spans="2:297" ht="7.95" customHeight="1"/>
    <row r="2" spans="2:297" ht="40.049999999999997" customHeight="1">
      <c r="B2" s="78"/>
      <c r="C2" s="79"/>
      <c r="F2" s="78"/>
      <c r="G2" s="79"/>
    </row>
    <row r="3" spans="2:297" ht="7.95" customHeight="1"/>
    <row r="4" spans="2:297" customFormat="1" ht="19.95" customHeight="1"/>
    <row r="5" spans="2:297" customFormat="1" ht="19.95" customHeight="1"/>
    <row r="6" spans="2:297">
      <c r="I6" s="80"/>
      <c r="R6" s="80"/>
      <c r="AA6" s="80"/>
      <c r="AJ6" s="80"/>
      <c r="AS6" s="80"/>
      <c r="BB6" s="80"/>
      <c r="BK6" s="80"/>
      <c r="BT6" s="80"/>
      <c r="CC6" s="80"/>
      <c r="CL6" s="80"/>
      <c r="CU6" s="80"/>
      <c r="DD6" s="80"/>
      <c r="DM6" s="80"/>
      <c r="DV6" s="80"/>
      <c r="EE6" s="80"/>
      <c r="EN6" s="80"/>
      <c r="EW6" s="80"/>
      <c r="FF6" s="80"/>
      <c r="FO6" s="80"/>
      <c r="FX6" s="80"/>
      <c r="GG6" s="80"/>
      <c r="GP6" s="80"/>
      <c r="GY6" s="80"/>
      <c r="HH6" s="80"/>
      <c r="HQ6" s="80"/>
      <c r="HZ6" s="80"/>
      <c r="II6" s="80"/>
      <c r="IR6" s="80"/>
      <c r="JA6" s="80"/>
      <c r="JJ6" s="80"/>
      <c r="JS6" s="80"/>
      <c r="KB6" s="80"/>
      <c r="KK6" s="80"/>
    </row>
    <row r="7" spans="2:297">
      <c r="I7" s="80"/>
      <c r="R7" s="80"/>
      <c r="AA7" s="80"/>
      <c r="AJ7" s="80"/>
      <c r="AS7" s="80"/>
      <c r="BB7" s="80"/>
      <c r="BK7" s="80"/>
      <c r="BT7" s="80"/>
      <c r="CC7" s="80"/>
      <c r="CL7" s="80"/>
      <c r="CU7" s="80"/>
      <c r="DD7" s="80"/>
      <c r="DM7" s="80"/>
      <c r="DV7" s="80"/>
      <c r="EE7" s="80"/>
      <c r="EN7" s="80"/>
      <c r="EW7" s="80"/>
      <c r="FF7" s="80"/>
      <c r="FO7" s="80"/>
      <c r="FX7" s="80"/>
      <c r="GG7" s="80"/>
      <c r="GP7" s="80"/>
      <c r="GY7" s="80"/>
      <c r="HH7" s="80"/>
      <c r="HQ7" s="80"/>
      <c r="HZ7" s="80"/>
      <c r="II7" s="80"/>
      <c r="IR7" s="80"/>
      <c r="JA7" s="80"/>
      <c r="JJ7" s="80"/>
      <c r="JS7" s="80"/>
      <c r="KB7" s="80"/>
      <c r="KK7" s="80"/>
    </row>
    <row r="8" spans="2:297">
      <c r="I8" s="80"/>
      <c r="R8" s="80"/>
      <c r="AA8" s="80"/>
      <c r="AJ8" s="80"/>
      <c r="AS8" s="80"/>
      <c r="BB8" s="80"/>
      <c r="BK8" s="80"/>
      <c r="BT8" s="80"/>
      <c r="CC8" s="80"/>
      <c r="CL8" s="80"/>
      <c r="CU8" s="80"/>
      <c r="DD8" s="80"/>
      <c r="DM8" s="80"/>
      <c r="DV8" s="80"/>
      <c r="EE8" s="80"/>
      <c r="EN8" s="80"/>
      <c r="EW8" s="80"/>
      <c r="FF8" s="80"/>
      <c r="FO8" s="80"/>
      <c r="FX8" s="80"/>
      <c r="GG8" s="80"/>
      <c r="GP8" s="80"/>
      <c r="GY8" s="80"/>
      <c r="HH8" s="80"/>
      <c r="HQ8" s="80"/>
      <c r="HZ8" s="80"/>
      <c r="II8" s="80"/>
      <c r="IR8" s="80"/>
      <c r="JA8" s="80"/>
      <c r="JJ8" s="80"/>
      <c r="JS8" s="80"/>
      <c r="KB8" s="80"/>
      <c r="KK8" s="80"/>
    </row>
    <row r="9" spans="2:297">
      <c r="I9" s="80"/>
      <c r="R9" s="80"/>
      <c r="AA9" s="80"/>
      <c r="AJ9" s="80"/>
      <c r="AS9" s="80"/>
      <c r="BB9" s="80"/>
      <c r="BK9" s="80"/>
      <c r="BT9" s="80"/>
      <c r="CC9" s="80"/>
      <c r="CL9" s="80"/>
      <c r="CU9" s="80"/>
      <c r="DD9" s="80"/>
      <c r="DM9" s="80"/>
      <c r="DV9" s="80"/>
      <c r="EE9" s="80"/>
      <c r="EN9" s="80"/>
      <c r="EW9" s="80"/>
      <c r="FF9" s="80"/>
      <c r="FO9" s="80"/>
      <c r="FX9" s="80"/>
      <c r="GG9" s="80"/>
      <c r="GP9" s="80"/>
      <c r="GY9" s="80"/>
      <c r="HH9" s="80"/>
      <c r="HQ9" s="80"/>
      <c r="HZ9" s="80"/>
      <c r="II9" s="80"/>
      <c r="IR9" s="80"/>
      <c r="JA9" s="80"/>
      <c r="JJ9" s="80"/>
      <c r="JS9" s="80"/>
      <c r="KB9" s="80"/>
      <c r="KK9" s="80"/>
    </row>
    <row r="10" spans="2:297">
      <c r="I10" s="80"/>
      <c r="R10" s="80"/>
      <c r="AA10" s="80"/>
      <c r="AJ10" s="80"/>
      <c r="AS10" s="80"/>
      <c r="BB10" s="80"/>
      <c r="BK10" s="80"/>
      <c r="BT10" s="80"/>
      <c r="CC10" s="80"/>
      <c r="CL10" s="80"/>
      <c r="CU10" s="80"/>
      <c r="DD10" s="80"/>
      <c r="DM10" s="80"/>
      <c r="DV10" s="80"/>
      <c r="EE10" s="80"/>
      <c r="EN10" s="80"/>
      <c r="EW10" s="80"/>
      <c r="FF10" s="80"/>
      <c r="FO10" s="80"/>
      <c r="FX10" s="80"/>
      <c r="GG10" s="80"/>
      <c r="GP10" s="80"/>
      <c r="GY10" s="80"/>
      <c r="HH10" s="80"/>
      <c r="HQ10" s="80"/>
      <c r="HZ10" s="80"/>
      <c r="II10" s="80"/>
      <c r="IR10" s="80"/>
      <c r="JA10" s="80"/>
      <c r="JJ10" s="80"/>
      <c r="JS10" s="80"/>
      <c r="KB10" s="80"/>
      <c r="KK10" s="80"/>
    </row>
    <row r="11" spans="2:297">
      <c r="I11" s="80"/>
      <c r="R11" s="80"/>
      <c r="AA11" s="80"/>
      <c r="AJ11" s="80"/>
      <c r="AS11" s="80"/>
      <c r="BB11" s="80"/>
      <c r="BK11" s="80"/>
      <c r="BT11" s="80"/>
      <c r="CC11" s="80"/>
      <c r="CL11" s="80"/>
      <c r="CU11" s="80"/>
      <c r="DD11" s="80"/>
      <c r="DM11" s="80"/>
      <c r="DV11" s="80"/>
      <c r="EE11" s="80"/>
      <c r="EN11" s="80"/>
      <c r="EW11" s="80"/>
      <c r="FF11" s="80"/>
      <c r="FO11" s="80"/>
      <c r="FX11" s="80"/>
      <c r="GG11" s="80"/>
      <c r="GP11" s="80"/>
      <c r="GY11" s="80"/>
      <c r="HH11" s="80"/>
      <c r="HQ11" s="80"/>
      <c r="HZ11" s="80"/>
      <c r="II11" s="80"/>
      <c r="IR11" s="80"/>
      <c r="JA11" s="80"/>
      <c r="KB11" s="80"/>
    </row>
    <row r="12" spans="2:297">
      <c r="I12" s="80"/>
      <c r="R12" s="80"/>
      <c r="AA12" s="80"/>
      <c r="AJ12" s="80"/>
      <c r="AS12" s="80"/>
      <c r="BB12" s="80"/>
      <c r="BK12" s="80"/>
      <c r="BT12" s="80"/>
      <c r="CC12" s="80"/>
      <c r="CL12" s="80"/>
      <c r="CU12" s="80"/>
      <c r="DD12" s="80"/>
      <c r="DM12" s="80"/>
      <c r="DV12" s="80"/>
      <c r="EE12" s="80"/>
      <c r="EN12" s="80"/>
      <c r="EW12" s="80"/>
      <c r="FF12" s="80"/>
      <c r="FO12" s="80"/>
      <c r="FX12" s="80"/>
      <c r="GG12" s="80"/>
      <c r="GP12" s="80"/>
      <c r="GY12" s="80"/>
      <c r="HH12" s="80"/>
      <c r="HQ12" s="80"/>
      <c r="HZ12" s="80"/>
      <c r="II12" s="80"/>
      <c r="IR12" s="80"/>
      <c r="JA12" s="80"/>
      <c r="KB12" s="80"/>
    </row>
    <row r="13" spans="2:297">
      <c r="I13" s="80"/>
      <c r="R13" s="80"/>
      <c r="AA13" s="80"/>
      <c r="AJ13" s="80"/>
      <c r="AS13" s="80"/>
      <c r="BB13" s="80"/>
      <c r="BK13" s="80"/>
      <c r="BT13" s="80"/>
      <c r="CC13" s="80"/>
      <c r="CL13" s="80"/>
      <c r="CU13" s="80"/>
      <c r="DD13" s="80"/>
      <c r="DM13" s="80"/>
      <c r="DV13" s="80"/>
      <c r="EE13" s="80"/>
      <c r="EN13" s="80"/>
      <c r="EW13" s="80"/>
      <c r="FF13" s="80"/>
      <c r="FO13" s="80"/>
      <c r="FX13" s="80"/>
      <c r="GG13" s="80"/>
      <c r="GP13" s="80"/>
      <c r="GY13" s="80"/>
      <c r="HH13" s="80"/>
      <c r="HQ13" s="80"/>
      <c r="HZ13" s="80"/>
      <c r="II13" s="80"/>
      <c r="KB13" s="80"/>
    </row>
    <row r="14" spans="2:297">
      <c r="I14" s="80"/>
      <c r="R14" s="80"/>
      <c r="AA14" s="80"/>
      <c r="AJ14" s="80"/>
      <c r="AS14" s="80"/>
      <c r="BB14" s="80"/>
      <c r="BK14" s="80"/>
      <c r="BT14" s="80"/>
      <c r="CC14" s="80"/>
      <c r="CL14" s="80"/>
      <c r="CU14" s="80"/>
      <c r="DD14" s="80"/>
      <c r="DM14" s="80"/>
      <c r="DV14" s="80"/>
      <c r="EE14" s="80"/>
      <c r="EN14" s="80"/>
      <c r="EW14" s="80"/>
      <c r="FF14" s="80"/>
      <c r="FO14" s="80"/>
      <c r="FX14" s="80"/>
      <c r="GG14" s="80"/>
      <c r="GP14" s="80"/>
      <c r="HH14" s="80"/>
      <c r="HQ14" s="80"/>
      <c r="HZ14" s="80"/>
      <c r="II14" s="80"/>
      <c r="KB14" s="80"/>
    </row>
    <row r="15" spans="2:297">
      <c r="I15" s="80"/>
      <c r="R15" s="80"/>
      <c r="AA15" s="80"/>
      <c r="AJ15" s="80"/>
      <c r="AS15" s="80"/>
      <c r="BB15" s="80"/>
      <c r="BK15" s="80"/>
      <c r="BT15" s="80"/>
      <c r="CC15" s="80"/>
      <c r="CL15" s="80"/>
      <c r="CU15" s="80"/>
      <c r="DD15" s="80"/>
      <c r="DM15" s="80"/>
      <c r="DV15" s="80"/>
      <c r="EE15" s="80"/>
      <c r="EN15" s="80"/>
      <c r="EW15" s="80"/>
      <c r="FF15" s="80"/>
      <c r="FO15" s="80"/>
      <c r="FX15" s="80"/>
      <c r="GG15" s="80"/>
      <c r="GP15" s="80"/>
      <c r="HH15" s="80"/>
      <c r="HQ15" s="80"/>
      <c r="HZ15" s="80"/>
      <c r="II15" s="80"/>
      <c r="KB15" s="80"/>
    </row>
    <row r="16" spans="2:297">
      <c r="I16" s="80"/>
      <c r="R16" s="80"/>
      <c r="AA16" s="80"/>
      <c r="AJ16" s="80"/>
      <c r="AS16" s="80"/>
      <c r="BB16" s="80"/>
      <c r="BK16" s="80"/>
      <c r="BT16" s="80"/>
      <c r="CC16" s="80"/>
      <c r="CL16" s="80"/>
      <c r="CU16" s="80"/>
      <c r="DD16" s="80"/>
      <c r="DM16" s="80"/>
      <c r="DV16" s="80"/>
      <c r="EE16" s="80"/>
      <c r="EN16" s="80"/>
      <c r="EW16" s="80"/>
      <c r="FF16" s="80"/>
      <c r="FO16" s="80"/>
      <c r="FX16" s="80"/>
      <c r="GG16" s="80"/>
      <c r="GP16" s="80"/>
      <c r="HH16" s="80"/>
      <c r="HQ16" s="80"/>
      <c r="HZ16" s="80"/>
      <c r="II16" s="80"/>
    </row>
    <row r="17" spans="9:243">
      <c r="I17" s="80"/>
      <c r="R17" s="80"/>
      <c r="AA17" s="80"/>
      <c r="AJ17" s="80"/>
      <c r="AS17" s="80"/>
      <c r="BB17" s="80"/>
      <c r="BK17" s="80"/>
      <c r="BT17" s="80"/>
      <c r="CC17" s="80"/>
      <c r="CL17" s="80"/>
      <c r="CU17" s="80"/>
      <c r="DD17" s="80"/>
      <c r="DM17" s="80"/>
      <c r="DV17" s="80"/>
      <c r="EE17" s="80"/>
      <c r="EN17" s="80"/>
      <c r="EW17" s="80"/>
      <c r="FF17" s="80"/>
      <c r="FO17" s="80"/>
      <c r="FX17" s="80"/>
      <c r="GG17" s="80"/>
      <c r="GP17" s="80"/>
      <c r="HH17" s="80"/>
      <c r="HQ17" s="80"/>
      <c r="HZ17" s="80"/>
      <c r="II17" s="80"/>
    </row>
    <row r="18" spans="9:243">
      <c r="I18" s="80"/>
      <c r="R18" s="80"/>
      <c r="AA18" s="80"/>
      <c r="AJ18" s="80"/>
      <c r="AS18" s="80"/>
      <c r="BB18" s="80"/>
      <c r="BK18" s="80"/>
      <c r="BT18" s="80"/>
      <c r="CC18" s="80"/>
      <c r="CL18" s="80"/>
      <c r="CU18" s="80"/>
      <c r="DM18" s="80"/>
      <c r="DV18" s="80"/>
      <c r="EE18" s="80"/>
      <c r="EN18" s="80"/>
      <c r="EW18" s="80"/>
      <c r="FF18" s="80"/>
      <c r="FO18" s="80"/>
      <c r="FX18" s="80"/>
      <c r="GG18" s="80"/>
      <c r="GP18" s="80"/>
      <c r="HQ18" s="80"/>
      <c r="HZ18" s="80"/>
      <c r="II18" s="80"/>
    </row>
    <row r="19" spans="9:243">
      <c r="I19" s="80"/>
      <c r="R19" s="80"/>
      <c r="AA19" s="80"/>
      <c r="AJ19" s="80"/>
      <c r="AS19" s="80"/>
      <c r="BB19" s="80"/>
      <c r="BK19" s="80"/>
      <c r="BT19" s="80"/>
      <c r="CC19" s="80"/>
      <c r="CL19" s="80"/>
      <c r="CU19" s="80"/>
      <c r="DM19" s="80"/>
      <c r="DV19" s="80"/>
      <c r="EE19" s="80"/>
      <c r="EN19" s="80"/>
      <c r="EW19" s="80"/>
      <c r="FF19" s="80"/>
      <c r="FO19" s="80"/>
      <c r="FX19" s="80"/>
      <c r="GG19" s="80"/>
      <c r="GP19" s="80"/>
      <c r="HQ19" s="80"/>
      <c r="HZ19" s="80"/>
      <c r="II19" s="80"/>
    </row>
    <row r="20" spans="9:243">
      <c r="I20" s="80"/>
      <c r="R20" s="80"/>
      <c r="AA20" s="80"/>
      <c r="AJ20" s="80"/>
      <c r="AS20" s="80"/>
      <c r="BB20" s="80"/>
      <c r="BK20" s="80"/>
      <c r="BT20" s="80"/>
      <c r="CC20" s="80"/>
      <c r="CL20" s="80"/>
      <c r="CU20" s="80"/>
      <c r="DM20" s="80"/>
      <c r="DV20" s="80"/>
      <c r="EE20" s="80"/>
      <c r="EN20" s="80"/>
      <c r="EW20" s="80"/>
      <c r="FF20" s="80"/>
      <c r="FO20" s="80"/>
      <c r="FX20" s="80"/>
      <c r="GG20" s="80"/>
      <c r="GP20" s="80"/>
      <c r="HQ20" s="80"/>
      <c r="HZ20" s="80"/>
      <c r="II20" s="80"/>
    </row>
    <row r="21" spans="9:243">
      <c r="I21" s="80"/>
      <c r="R21" s="80"/>
      <c r="AA21" s="80"/>
      <c r="AJ21" s="80"/>
      <c r="AS21" s="80"/>
      <c r="BB21" s="80"/>
      <c r="BK21" s="80"/>
      <c r="BT21" s="80"/>
      <c r="CC21" s="80"/>
      <c r="CL21" s="80"/>
      <c r="CU21" s="80"/>
      <c r="DM21" s="80"/>
      <c r="DV21" s="80"/>
      <c r="EE21" s="80"/>
      <c r="EN21" s="80"/>
      <c r="EW21" s="80"/>
      <c r="FF21" s="80"/>
      <c r="FO21" s="80"/>
      <c r="FX21" s="80"/>
      <c r="GG21" s="80"/>
      <c r="GP21" s="80"/>
      <c r="HQ21" s="80"/>
      <c r="HZ21" s="80"/>
      <c r="II21" s="80"/>
    </row>
    <row r="22" spans="9:243">
      <c r="I22" s="80"/>
      <c r="R22" s="80"/>
      <c r="AA22" s="80"/>
      <c r="AJ22" s="80"/>
      <c r="AS22" s="80"/>
      <c r="BB22" s="80"/>
      <c r="BK22" s="80"/>
      <c r="BT22" s="80"/>
      <c r="CC22" s="80"/>
      <c r="CL22" s="80"/>
      <c r="CU22" s="80"/>
      <c r="DM22" s="80"/>
      <c r="DV22" s="80"/>
      <c r="EE22" s="80"/>
      <c r="EN22" s="80"/>
      <c r="EW22" s="80"/>
      <c r="FF22" s="80"/>
      <c r="FO22" s="80"/>
      <c r="FX22" s="80"/>
      <c r="GG22" s="80"/>
      <c r="GP22" s="80"/>
      <c r="HZ22" s="80"/>
      <c r="II22" s="80"/>
    </row>
    <row r="23" spans="9:243">
      <c r="I23" s="80"/>
      <c r="R23" s="80"/>
      <c r="AA23" s="80"/>
      <c r="AJ23" s="80"/>
      <c r="AS23" s="80"/>
      <c r="BB23" s="80"/>
      <c r="BK23" s="80"/>
      <c r="BT23" s="80"/>
      <c r="CC23" s="80"/>
      <c r="CL23" s="80"/>
      <c r="CU23" s="80"/>
      <c r="DM23" s="80"/>
      <c r="DV23" s="80"/>
      <c r="EE23" s="80"/>
      <c r="EN23" s="80"/>
      <c r="EW23" s="80"/>
      <c r="FF23" s="80"/>
      <c r="FO23" s="80"/>
      <c r="FX23" s="80"/>
      <c r="GG23" s="80"/>
      <c r="GP23" s="80"/>
      <c r="HZ23" s="80"/>
      <c r="II23" s="80"/>
    </row>
    <row r="24" spans="9:243">
      <c r="I24" s="80"/>
      <c r="R24" s="80"/>
      <c r="AA24" s="80"/>
      <c r="AJ24" s="80"/>
      <c r="AS24" s="80"/>
      <c r="BB24" s="80"/>
      <c r="BK24" s="80"/>
      <c r="BT24" s="80"/>
      <c r="CC24" s="80"/>
      <c r="CL24" s="80"/>
      <c r="CU24" s="80"/>
      <c r="DM24" s="80"/>
      <c r="DV24" s="80"/>
      <c r="EE24" s="80"/>
      <c r="EN24" s="80"/>
      <c r="EW24" s="80"/>
      <c r="FF24" s="80"/>
      <c r="FO24" s="80"/>
      <c r="FX24" s="80"/>
      <c r="GG24" s="80"/>
      <c r="GP24" s="80"/>
      <c r="HZ24" s="80"/>
      <c r="II24" s="80"/>
    </row>
    <row r="25" spans="9:243">
      <c r="I25" s="80"/>
      <c r="R25" s="80"/>
      <c r="AA25" s="80"/>
      <c r="AJ25" s="80"/>
      <c r="AS25" s="80"/>
      <c r="BB25" s="80"/>
      <c r="BK25" s="80"/>
      <c r="BT25" s="80"/>
      <c r="CC25" s="80"/>
      <c r="CL25" s="80"/>
      <c r="CU25" s="80"/>
      <c r="DM25" s="80"/>
      <c r="DV25" s="80"/>
      <c r="EE25" s="80"/>
      <c r="EN25" s="80"/>
      <c r="EW25" s="80"/>
      <c r="FF25" s="80"/>
      <c r="FO25" s="80"/>
      <c r="FX25" s="80"/>
      <c r="GP25" s="80"/>
      <c r="HZ25" s="80"/>
      <c r="II25" s="80"/>
    </row>
    <row r="26" spans="9:243">
      <c r="I26" s="80"/>
      <c r="R26" s="80"/>
      <c r="AA26" s="80"/>
      <c r="AJ26" s="80"/>
      <c r="AS26" s="80"/>
      <c r="BB26" s="80"/>
      <c r="BK26" s="80"/>
      <c r="BT26" s="80"/>
      <c r="CC26" s="80"/>
      <c r="CL26" s="80"/>
      <c r="CU26" s="80"/>
      <c r="DM26" s="80"/>
      <c r="DV26" s="80"/>
      <c r="EE26" s="80"/>
      <c r="EN26" s="80"/>
      <c r="EW26" s="80"/>
      <c r="FF26" s="80"/>
      <c r="FO26" s="80"/>
      <c r="FX26" s="80"/>
      <c r="GP26" s="80"/>
      <c r="HZ26" s="80"/>
      <c r="II26" s="80"/>
    </row>
    <row r="27" spans="9:243">
      <c r="I27" s="80"/>
      <c r="R27" s="80"/>
      <c r="AA27" s="80"/>
      <c r="AJ27" s="80"/>
      <c r="AS27" s="80"/>
      <c r="BB27" s="80"/>
      <c r="BK27" s="80"/>
      <c r="BT27" s="80"/>
      <c r="CC27" s="80"/>
      <c r="CL27" s="80"/>
      <c r="CU27" s="80"/>
      <c r="DM27" s="80"/>
      <c r="DV27" s="80"/>
      <c r="EE27" s="80"/>
      <c r="EN27" s="80"/>
      <c r="EW27" s="80"/>
      <c r="FF27" s="80"/>
      <c r="FO27" s="80"/>
      <c r="FX27" s="80"/>
      <c r="GP27" s="80"/>
      <c r="HZ27" s="80"/>
      <c r="II27" s="80"/>
    </row>
    <row r="28" spans="9:243">
      <c r="I28" s="80"/>
      <c r="R28" s="80"/>
      <c r="AA28" s="80"/>
      <c r="AJ28" s="80"/>
      <c r="AS28" s="80"/>
      <c r="BB28" s="80"/>
      <c r="BK28" s="80"/>
      <c r="BT28" s="80"/>
      <c r="CC28" s="80"/>
      <c r="CL28" s="80"/>
      <c r="CU28" s="80"/>
      <c r="DM28" s="80"/>
      <c r="DV28" s="80"/>
      <c r="EE28" s="80"/>
      <c r="EN28" s="80"/>
      <c r="EW28" s="80"/>
      <c r="FF28" s="80"/>
      <c r="FO28" s="80"/>
      <c r="FX28" s="80"/>
      <c r="GP28" s="80"/>
      <c r="HZ28" s="80"/>
      <c r="II28" s="80"/>
    </row>
    <row r="29" spans="9:243">
      <c r="I29" s="80"/>
      <c r="R29" s="80"/>
      <c r="AA29" s="80"/>
      <c r="AJ29" s="80"/>
      <c r="AS29" s="80"/>
      <c r="BB29" s="80"/>
      <c r="BK29" s="80"/>
      <c r="BT29" s="80"/>
      <c r="CC29" s="80"/>
      <c r="CL29" s="80"/>
      <c r="CU29" s="80"/>
      <c r="DM29" s="80"/>
      <c r="DV29" s="80"/>
      <c r="EE29" s="80"/>
      <c r="EN29" s="80"/>
      <c r="EW29" s="80"/>
      <c r="FF29" s="80"/>
      <c r="FO29" s="80"/>
      <c r="FX29" s="80"/>
      <c r="GP29" s="80"/>
      <c r="HZ29" s="80"/>
      <c r="II29" s="80"/>
    </row>
    <row r="30" spans="9:243">
      <c r="I30" s="80"/>
      <c r="R30" s="80"/>
      <c r="AA30" s="80"/>
      <c r="AJ30" s="80"/>
      <c r="AS30" s="80"/>
      <c r="BB30" s="80"/>
      <c r="BK30" s="80"/>
      <c r="BT30" s="80"/>
      <c r="CC30" s="80"/>
      <c r="CL30" s="80"/>
      <c r="CU30" s="80"/>
      <c r="DM30" s="80"/>
      <c r="DV30" s="80"/>
      <c r="EE30" s="80"/>
      <c r="EN30" s="80"/>
      <c r="EW30" s="80"/>
      <c r="FF30" s="80"/>
      <c r="FO30" s="80"/>
      <c r="FX30" s="80"/>
      <c r="GP30" s="80"/>
      <c r="HZ30" s="80"/>
      <c r="II30" s="80"/>
    </row>
    <row r="31" spans="9:243">
      <c r="I31" s="80"/>
      <c r="R31" s="80"/>
      <c r="AA31" s="80"/>
      <c r="AJ31" s="80"/>
      <c r="AS31" s="80"/>
      <c r="BB31" s="80"/>
      <c r="BK31" s="80"/>
      <c r="BT31" s="80"/>
      <c r="CC31" s="80"/>
      <c r="CL31" s="80"/>
      <c r="CU31" s="80"/>
      <c r="DM31" s="80"/>
      <c r="DV31" s="80"/>
      <c r="EE31" s="80"/>
      <c r="EN31" s="80"/>
      <c r="EW31" s="80"/>
      <c r="FF31" s="80"/>
      <c r="FO31" s="80"/>
      <c r="FX31" s="80"/>
      <c r="GP31" s="80"/>
      <c r="HZ31" s="80"/>
      <c r="II31" s="80"/>
    </row>
    <row r="32" spans="9:243">
      <c r="I32" s="80"/>
      <c r="R32" s="80"/>
      <c r="AA32" s="80"/>
      <c r="AJ32" s="80"/>
      <c r="AS32" s="80"/>
      <c r="BB32" s="80"/>
      <c r="BK32" s="80"/>
      <c r="BT32" s="80"/>
      <c r="CC32" s="80"/>
      <c r="CL32" s="80"/>
      <c r="CU32" s="80"/>
      <c r="DM32" s="80"/>
      <c r="DV32" s="80"/>
      <c r="EE32" s="80"/>
      <c r="EN32" s="80"/>
      <c r="EW32" s="80"/>
      <c r="FF32" s="80"/>
      <c r="FO32" s="80"/>
      <c r="FX32" s="80"/>
      <c r="GP32" s="80"/>
      <c r="HZ32" s="80"/>
    </row>
    <row r="33" spans="9:234">
      <c r="I33" s="80"/>
      <c r="R33" s="80"/>
      <c r="AA33" s="80"/>
      <c r="AJ33" s="80"/>
      <c r="AS33" s="80"/>
      <c r="BB33" s="80"/>
      <c r="BK33" s="80"/>
      <c r="BT33" s="80"/>
      <c r="CC33" s="80"/>
      <c r="CL33" s="80"/>
      <c r="CU33" s="80"/>
      <c r="DM33" s="80"/>
      <c r="DV33" s="80"/>
      <c r="EE33" s="80"/>
      <c r="EN33" s="80"/>
      <c r="EW33" s="80"/>
      <c r="FF33" s="80"/>
      <c r="FO33" s="80"/>
      <c r="FX33" s="80"/>
      <c r="GP33" s="80"/>
      <c r="HZ33" s="80"/>
    </row>
    <row r="34" spans="9:234">
      <c r="I34" s="80"/>
      <c r="R34" s="80"/>
      <c r="AA34" s="80"/>
      <c r="AJ34" s="80"/>
      <c r="AS34" s="80"/>
      <c r="BB34" s="80"/>
      <c r="BK34" s="80"/>
      <c r="BT34" s="80"/>
      <c r="CC34" s="80"/>
      <c r="CL34" s="80"/>
      <c r="CU34" s="80"/>
      <c r="DM34" s="80"/>
      <c r="DV34" s="80"/>
      <c r="EE34" s="80"/>
      <c r="EN34" s="80"/>
      <c r="EW34" s="80"/>
      <c r="FF34" s="80"/>
      <c r="FO34" s="80"/>
      <c r="FX34" s="80"/>
      <c r="GP34" s="80"/>
      <c r="HZ34" s="80"/>
    </row>
    <row r="35" spans="9:234">
      <c r="I35" s="80"/>
      <c r="R35" s="80"/>
      <c r="AA35" s="80"/>
      <c r="AJ35" s="80"/>
      <c r="AS35" s="80"/>
      <c r="BB35" s="80"/>
      <c r="BK35" s="80"/>
      <c r="BT35" s="80"/>
      <c r="CC35" s="80"/>
      <c r="CL35" s="80"/>
      <c r="CU35" s="80"/>
      <c r="DM35" s="80"/>
      <c r="DV35" s="80"/>
      <c r="EE35" s="80"/>
      <c r="EN35" s="80"/>
      <c r="EW35" s="80"/>
      <c r="FF35" s="80"/>
      <c r="FO35" s="80"/>
      <c r="FX35" s="80"/>
      <c r="GP35" s="80"/>
      <c r="HZ35" s="80"/>
    </row>
    <row r="36" spans="9:234">
      <c r="I36" s="80"/>
      <c r="R36" s="80"/>
      <c r="AJ36" s="80"/>
      <c r="AS36" s="80"/>
      <c r="BB36" s="80"/>
      <c r="BK36" s="80"/>
      <c r="BT36" s="80"/>
      <c r="CC36" s="80"/>
      <c r="CL36" s="80"/>
      <c r="CU36" s="80"/>
      <c r="DM36" s="80"/>
      <c r="DV36" s="80"/>
      <c r="EE36" s="80"/>
      <c r="EN36" s="80"/>
      <c r="EW36" s="80"/>
      <c r="FF36" s="80"/>
      <c r="FO36" s="80"/>
      <c r="FX36" s="80"/>
      <c r="GP36" s="80"/>
      <c r="HZ36" s="80"/>
    </row>
    <row r="37" spans="9:234">
      <c r="I37" s="80"/>
      <c r="R37" s="80"/>
      <c r="AJ37" s="80"/>
      <c r="AS37" s="80"/>
      <c r="BB37" s="80"/>
      <c r="BK37" s="80"/>
      <c r="BT37" s="80"/>
      <c r="CC37" s="80"/>
      <c r="CL37" s="80"/>
      <c r="CU37" s="80"/>
      <c r="DM37" s="80"/>
      <c r="DV37" s="80"/>
      <c r="EE37" s="80"/>
      <c r="EN37" s="80"/>
      <c r="EW37" s="80"/>
      <c r="FF37" s="80"/>
      <c r="FO37" s="80"/>
      <c r="FX37" s="80"/>
      <c r="GP37" s="80"/>
      <c r="HZ37" s="80"/>
    </row>
    <row r="38" spans="9:234">
      <c r="I38" s="80"/>
      <c r="R38" s="80"/>
      <c r="AJ38" s="80"/>
      <c r="AS38" s="80"/>
      <c r="BB38" s="80"/>
      <c r="BK38" s="80"/>
      <c r="BT38" s="80"/>
      <c r="CC38" s="80"/>
      <c r="CL38" s="80"/>
      <c r="CU38" s="80"/>
      <c r="DM38" s="80"/>
      <c r="DV38" s="80"/>
      <c r="EE38" s="80"/>
      <c r="EN38" s="80"/>
      <c r="EW38" s="80"/>
      <c r="FF38" s="80"/>
      <c r="FO38" s="80"/>
      <c r="FX38" s="80"/>
      <c r="GP38" s="80"/>
      <c r="HZ38" s="80"/>
    </row>
    <row r="39" spans="9:234">
      <c r="I39" s="80"/>
      <c r="R39" s="80"/>
      <c r="AJ39" s="80"/>
      <c r="AS39" s="80"/>
      <c r="BB39" s="80"/>
      <c r="BK39" s="80"/>
      <c r="BT39" s="80"/>
      <c r="CC39" s="80"/>
      <c r="CL39" s="80"/>
      <c r="CU39" s="80"/>
      <c r="DM39" s="80"/>
      <c r="DV39" s="80"/>
      <c r="EE39" s="80"/>
      <c r="EN39" s="80"/>
      <c r="EW39" s="80"/>
      <c r="FF39" s="80"/>
      <c r="FO39" s="80"/>
      <c r="FX39" s="80"/>
      <c r="GP39" s="80"/>
      <c r="HZ39" s="80"/>
    </row>
    <row r="40" spans="9:234">
      <c r="I40" s="80"/>
      <c r="R40" s="80"/>
      <c r="AJ40" s="80"/>
      <c r="AS40" s="80"/>
      <c r="BB40" s="80"/>
      <c r="BK40" s="80"/>
      <c r="BT40" s="80"/>
      <c r="CC40" s="80"/>
      <c r="CL40" s="80"/>
      <c r="CU40" s="80"/>
      <c r="DM40" s="80"/>
      <c r="DV40" s="80"/>
      <c r="EE40" s="80"/>
      <c r="EN40" s="80"/>
      <c r="EW40" s="80"/>
      <c r="FF40" s="80"/>
      <c r="FO40" s="80"/>
      <c r="FX40" s="80"/>
      <c r="GP40" s="80"/>
      <c r="HZ40" s="80"/>
    </row>
    <row r="41" spans="9:234">
      <c r="I41" s="80"/>
      <c r="R41" s="80"/>
      <c r="AJ41" s="80"/>
      <c r="AS41" s="80"/>
      <c r="BB41" s="80"/>
      <c r="BK41" s="80"/>
      <c r="BT41" s="80"/>
      <c r="CC41" s="80"/>
      <c r="CL41" s="80"/>
      <c r="CU41" s="80"/>
      <c r="DM41" s="80"/>
      <c r="DV41" s="80"/>
      <c r="EE41" s="80"/>
      <c r="EN41" s="80"/>
      <c r="EW41" s="80"/>
      <c r="FF41" s="80"/>
      <c r="FO41" s="80"/>
      <c r="FX41" s="80"/>
      <c r="HZ41" s="80"/>
    </row>
    <row r="42" spans="9:234">
      <c r="I42" s="80"/>
      <c r="R42" s="80"/>
      <c r="AJ42" s="80"/>
      <c r="AS42" s="80"/>
      <c r="BB42" s="80"/>
      <c r="BK42" s="80"/>
      <c r="BT42" s="80"/>
      <c r="CC42" s="80"/>
      <c r="CL42" s="80"/>
      <c r="CU42" s="80"/>
      <c r="DM42" s="80"/>
      <c r="DV42" s="80"/>
      <c r="EE42" s="80"/>
      <c r="EN42" s="80"/>
      <c r="EW42" s="80"/>
      <c r="FF42" s="80"/>
      <c r="FO42" s="80"/>
      <c r="FX42" s="80"/>
      <c r="HZ42" s="80"/>
    </row>
    <row r="43" spans="9:234">
      <c r="I43" s="80"/>
      <c r="R43" s="80"/>
      <c r="AJ43" s="80"/>
      <c r="AS43" s="80"/>
      <c r="BB43" s="80"/>
      <c r="BK43" s="80"/>
      <c r="BT43" s="80"/>
      <c r="CC43" s="80"/>
      <c r="CL43" s="80"/>
      <c r="CU43" s="80"/>
      <c r="DM43" s="80"/>
      <c r="DV43" s="80"/>
      <c r="EE43" s="80"/>
      <c r="EN43" s="80"/>
      <c r="EW43" s="80"/>
      <c r="FF43" s="80"/>
      <c r="FO43" s="80"/>
      <c r="FX43" s="80"/>
      <c r="HZ43" s="80"/>
    </row>
    <row r="44" spans="9:234">
      <c r="I44" s="80"/>
      <c r="R44" s="80"/>
      <c r="AJ44" s="80"/>
      <c r="AS44" s="80"/>
      <c r="BB44" s="80"/>
      <c r="BK44" s="80"/>
      <c r="BT44" s="80"/>
      <c r="CC44" s="80"/>
      <c r="CL44" s="80"/>
      <c r="CU44" s="80"/>
      <c r="DM44" s="80"/>
      <c r="DV44" s="80"/>
      <c r="EE44" s="80"/>
      <c r="EN44" s="80"/>
      <c r="EW44" s="80"/>
      <c r="FF44" s="80"/>
      <c r="FO44" s="80"/>
      <c r="FX44" s="80"/>
      <c r="HZ44" s="80"/>
    </row>
    <row r="45" spans="9:234">
      <c r="I45" s="80"/>
      <c r="R45" s="80"/>
      <c r="AJ45" s="80"/>
      <c r="AS45" s="80"/>
      <c r="BB45" s="80"/>
      <c r="BK45" s="80"/>
      <c r="BT45" s="80"/>
      <c r="CC45" s="80"/>
      <c r="CL45" s="80"/>
      <c r="CU45" s="80"/>
      <c r="DM45" s="80"/>
      <c r="DV45" s="80"/>
      <c r="EE45" s="80"/>
      <c r="EN45" s="80"/>
      <c r="EW45" s="80"/>
      <c r="FF45" s="80"/>
      <c r="FO45" s="80"/>
      <c r="FX45" s="80"/>
      <c r="HZ45" s="80"/>
    </row>
    <row r="46" spans="9:234">
      <c r="I46" s="80"/>
      <c r="R46" s="80"/>
      <c r="AJ46" s="80"/>
      <c r="AS46" s="80"/>
      <c r="BB46" s="80"/>
      <c r="BK46" s="80"/>
      <c r="BT46" s="80"/>
      <c r="CC46" s="80"/>
      <c r="CL46" s="80"/>
      <c r="CU46" s="80"/>
      <c r="DM46" s="80"/>
      <c r="DV46" s="80"/>
      <c r="EE46" s="80"/>
      <c r="EN46" s="80"/>
      <c r="EW46" s="80"/>
      <c r="FF46" s="80"/>
      <c r="FO46" s="80"/>
      <c r="FX46" s="80"/>
      <c r="HZ46" s="80"/>
    </row>
    <row r="47" spans="9:234">
      <c r="I47" s="80"/>
      <c r="R47" s="80"/>
      <c r="AJ47" s="80"/>
      <c r="AS47" s="80"/>
      <c r="BB47" s="80"/>
      <c r="BK47" s="80"/>
      <c r="BT47" s="80"/>
      <c r="CC47" s="80"/>
      <c r="CL47" s="80"/>
      <c r="CU47" s="80"/>
      <c r="DM47" s="80"/>
      <c r="DV47" s="80"/>
      <c r="EE47" s="80"/>
      <c r="EN47" s="80"/>
      <c r="EW47" s="80"/>
      <c r="FO47" s="80"/>
      <c r="FX47" s="80"/>
    </row>
    <row r="48" spans="9:234">
      <c r="I48" s="80"/>
      <c r="R48" s="80"/>
      <c r="AJ48" s="80"/>
      <c r="AS48" s="80"/>
      <c r="BB48" s="80"/>
      <c r="BK48" s="80"/>
      <c r="BT48" s="80"/>
      <c r="CC48" s="80"/>
      <c r="CL48" s="80"/>
      <c r="CU48" s="80"/>
      <c r="DM48" s="80"/>
      <c r="DV48" s="80"/>
      <c r="EE48" s="80"/>
      <c r="EN48" s="80"/>
      <c r="EW48" s="80"/>
      <c r="FO48" s="80"/>
      <c r="FX48" s="80"/>
    </row>
    <row r="49" spans="9:180">
      <c r="I49" s="80"/>
      <c r="R49" s="80"/>
      <c r="AJ49" s="80"/>
      <c r="AS49" s="80"/>
      <c r="BB49" s="80"/>
      <c r="BK49" s="80"/>
      <c r="BT49" s="80"/>
      <c r="CC49" s="80"/>
      <c r="CL49" s="80"/>
      <c r="CU49" s="80"/>
      <c r="DM49" s="80"/>
      <c r="DV49" s="80"/>
      <c r="EE49" s="80"/>
      <c r="EN49" s="80"/>
      <c r="EW49" s="80"/>
      <c r="FO49" s="80"/>
      <c r="FX49" s="80"/>
    </row>
    <row r="50" spans="9:180">
      <c r="I50" s="80"/>
      <c r="R50" s="80"/>
      <c r="AJ50" s="80"/>
      <c r="AS50" s="80"/>
      <c r="BB50" s="80"/>
      <c r="BK50" s="80"/>
      <c r="BT50" s="80"/>
      <c r="CC50" s="80"/>
      <c r="CL50" s="80"/>
      <c r="CU50" s="80"/>
      <c r="DM50" s="80"/>
      <c r="DV50" s="80"/>
      <c r="EE50" s="80"/>
      <c r="EN50" s="80"/>
      <c r="EW50" s="80"/>
      <c r="FO50" s="80"/>
      <c r="FX50" s="80"/>
    </row>
    <row r="51" spans="9:180">
      <c r="I51" s="80"/>
      <c r="R51" s="80"/>
      <c r="AJ51" s="80"/>
      <c r="AS51" s="80"/>
      <c r="BB51" s="80"/>
      <c r="BK51" s="80"/>
      <c r="BT51" s="80"/>
      <c r="CC51" s="80"/>
      <c r="CL51" s="80"/>
      <c r="CU51" s="80"/>
      <c r="DV51" s="80"/>
      <c r="EE51" s="80"/>
      <c r="EW51" s="80"/>
      <c r="FO51" s="80"/>
      <c r="FX51" s="80"/>
    </row>
    <row r="52" spans="9:180">
      <c r="I52" s="80"/>
      <c r="R52" s="80"/>
      <c r="AJ52" s="80"/>
      <c r="AS52" s="80"/>
      <c r="BB52" s="80"/>
      <c r="BK52" s="80"/>
      <c r="BT52" s="80"/>
      <c r="CC52" s="80"/>
      <c r="CL52" s="80"/>
      <c r="CU52" s="80"/>
      <c r="DV52" s="80"/>
      <c r="EE52" s="80"/>
      <c r="EW52" s="80"/>
      <c r="FO52" s="80"/>
      <c r="FX52" s="80"/>
    </row>
    <row r="53" spans="9:180">
      <c r="I53" s="80"/>
      <c r="R53" s="80"/>
      <c r="AJ53" s="80"/>
      <c r="AS53" s="80"/>
      <c r="BB53" s="80"/>
      <c r="BK53" s="80"/>
      <c r="BT53" s="80"/>
      <c r="CC53" s="80"/>
      <c r="CL53" s="80"/>
      <c r="CU53" s="80"/>
      <c r="DV53" s="80"/>
      <c r="EE53" s="80"/>
      <c r="EW53" s="80"/>
      <c r="FO53" s="80"/>
      <c r="FX53" s="80"/>
    </row>
    <row r="54" spans="9:180">
      <c r="I54" s="80"/>
      <c r="R54" s="80"/>
      <c r="AJ54" s="80"/>
      <c r="AS54" s="80"/>
      <c r="BB54" s="80"/>
      <c r="BK54" s="80"/>
      <c r="BT54" s="80"/>
      <c r="CC54" s="80"/>
      <c r="CL54" s="80"/>
      <c r="CU54" s="80"/>
      <c r="DV54" s="80"/>
      <c r="EE54" s="80"/>
      <c r="EW54" s="80"/>
      <c r="FO54" s="80"/>
      <c r="FX54" s="80"/>
    </row>
    <row r="55" spans="9:180">
      <c r="I55" s="80"/>
      <c r="R55" s="80"/>
      <c r="AJ55" s="80"/>
      <c r="AS55" s="80"/>
      <c r="BB55" s="80"/>
      <c r="BK55" s="80"/>
      <c r="BT55" s="80"/>
      <c r="CC55" s="80"/>
      <c r="CL55" s="80"/>
      <c r="CU55" s="80"/>
      <c r="DV55" s="80"/>
      <c r="EE55" s="80"/>
      <c r="EW55" s="80"/>
      <c r="FO55" s="80"/>
      <c r="FX55" s="80"/>
    </row>
    <row r="56" spans="9:180">
      <c r="I56" s="80"/>
      <c r="R56" s="80"/>
      <c r="AJ56" s="80"/>
      <c r="AS56" s="80"/>
      <c r="BB56" s="80"/>
      <c r="BK56" s="80"/>
      <c r="BT56" s="80"/>
      <c r="CC56" s="80"/>
      <c r="CL56" s="80"/>
      <c r="CU56" s="80"/>
      <c r="DV56" s="80"/>
      <c r="EE56" s="80"/>
      <c r="EW56" s="80"/>
      <c r="FO56" s="80"/>
      <c r="FX56" s="80"/>
    </row>
    <row r="57" spans="9:180">
      <c r="I57" s="80"/>
      <c r="AJ57" s="80"/>
      <c r="AS57" s="80"/>
      <c r="BB57" s="80"/>
      <c r="BK57" s="80"/>
      <c r="BT57" s="80"/>
      <c r="CC57" s="80"/>
      <c r="CL57" s="80"/>
      <c r="CU57" s="80"/>
      <c r="EE57" s="80"/>
      <c r="EW57" s="80"/>
      <c r="FO57" s="80"/>
      <c r="FX57" s="80"/>
    </row>
    <row r="58" spans="9:180">
      <c r="I58" s="80"/>
      <c r="AJ58" s="80"/>
      <c r="AS58" s="80"/>
      <c r="BB58" s="80"/>
      <c r="BK58" s="80"/>
      <c r="BT58" s="80"/>
      <c r="CC58" s="80"/>
      <c r="CL58" s="80"/>
      <c r="CU58" s="80"/>
      <c r="EE58" s="80"/>
      <c r="EW58" s="80"/>
      <c r="FO58" s="80"/>
      <c r="FX58" s="80"/>
    </row>
    <row r="59" spans="9:180">
      <c r="I59" s="80"/>
      <c r="AJ59" s="80"/>
      <c r="AS59" s="80"/>
      <c r="BB59" s="80"/>
      <c r="BK59" s="80"/>
      <c r="BT59" s="80"/>
      <c r="CC59" s="80"/>
      <c r="CL59" s="80"/>
      <c r="CU59" s="80"/>
      <c r="EE59" s="80"/>
      <c r="EW59" s="80"/>
      <c r="FO59" s="80"/>
      <c r="FX59" s="80"/>
    </row>
    <row r="60" spans="9:180">
      <c r="I60" s="80"/>
      <c r="AJ60" s="80"/>
      <c r="AS60" s="80"/>
      <c r="BB60" s="80"/>
      <c r="BK60" s="80"/>
      <c r="BT60" s="80"/>
      <c r="CC60" s="80"/>
      <c r="CL60" s="80"/>
      <c r="CU60" s="80"/>
      <c r="EE60" s="80"/>
      <c r="EW60" s="80"/>
      <c r="FO60" s="80"/>
      <c r="FX60" s="80"/>
    </row>
    <row r="61" spans="9:180">
      <c r="I61" s="80"/>
      <c r="AJ61" s="80"/>
      <c r="AS61" s="80"/>
      <c r="BB61" s="80"/>
      <c r="BK61" s="80"/>
      <c r="BT61" s="80"/>
      <c r="CC61" s="80"/>
      <c r="CL61" s="80"/>
      <c r="CU61" s="80"/>
      <c r="EE61" s="80"/>
      <c r="EW61" s="80"/>
      <c r="FO61" s="80"/>
      <c r="FX61" s="80"/>
    </row>
    <row r="62" spans="9:180">
      <c r="I62" s="80"/>
      <c r="AJ62" s="80"/>
      <c r="AS62" s="80"/>
      <c r="BB62" s="80"/>
      <c r="BT62" s="80"/>
      <c r="CC62" s="80"/>
      <c r="CL62" s="80"/>
      <c r="CU62" s="80"/>
      <c r="EE62" s="80"/>
      <c r="EW62" s="80"/>
      <c r="FO62" s="80"/>
      <c r="FX62" s="80"/>
    </row>
    <row r="63" spans="9:180">
      <c r="I63" s="80"/>
      <c r="AJ63" s="80"/>
      <c r="AS63" s="80"/>
      <c r="BB63" s="80"/>
      <c r="BT63" s="80"/>
      <c r="CC63" s="80"/>
      <c r="CL63" s="80"/>
      <c r="CU63" s="80"/>
      <c r="EE63" s="80"/>
      <c r="EW63" s="80"/>
      <c r="FO63" s="80"/>
      <c r="FX63" s="80"/>
    </row>
    <row r="64" spans="9:180">
      <c r="I64" s="80"/>
      <c r="AJ64" s="80"/>
      <c r="AS64" s="80"/>
      <c r="BB64" s="80"/>
      <c r="BT64" s="80"/>
      <c r="CC64" s="80"/>
      <c r="CL64" s="80"/>
      <c r="CU64" s="80"/>
      <c r="EE64" s="80"/>
      <c r="EW64" s="80"/>
      <c r="FO64" s="80"/>
      <c r="FX64" s="80"/>
    </row>
    <row r="65" spans="36:171">
      <c r="AJ65" s="80"/>
      <c r="AS65" s="80"/>
      <c r="BB65" s="80"/>
      <c r="BT65" s="80"/>
      <c r="CC65" s="80"/>
      <c r="CL65" s="80"/>
      <c r="CU65" s="80"/>
      <c r="EE65" s="80"/>
      <c r="EW65" s="80"/>
      <c r="FO65" s="80"/>
    </row>
    <row r="66" spans="36:171">
      <c r="AJ66" s="80"/>
      <c r="AS66" s="80"/>
      <c r="BB66" s="80"/>
      <c r="BT66" s="80"/>
      <c r="CC66" s="80"/>
      <c r="CL66" s="80"/>
      <c r="CU66" s="80"/>
      <c r="EE66" s="80"/>
      <c r="EW66" s="80"/>
      <c r="FO66" s="80"/>
    </row>
    <row r="67" spans="36:171">
      <c r="AJ67" s="80"/>
      <c r="AS67" s="80"/>
      <c r="BB67" s="80"/>
      <c r="BT67" s="80"/>
      <c r="CC67" s="80"/>
      <c r="CL67" s="80"/>
      <c r="CU67" s="80"/>
      <c r="EE67" s="80"/>
      <c r="EW67" s="80"/>
      <c r="FO67" s="80"/>
    </row>
    <row r="68" spans="36:171">
      <c r="AJ68" s="80"/>
      <c r="AS68" s="80"/>
      <c r="BB68" s="80"/>
      <c r="BT68" s="80"/>
      <c r="CC68" s="80"/>
      <c r="CL68" s="80"/>
      <c r="CU68" s="80"/>
      <c r="EE68" s="80"/>
      <c r="FO68" s="80"/>
    </row>
    <row r="69" spans="36:171">
      <c r="AJ69" s="80"/>
      <c r="AS69" s="80"/>
      <c r="BB69" s="80"/>
      <c r="BT69" s="80"/>
      <c r="CC69" s="80"/>
      <c r="CL69" s="80"/>
      <c r="CU69" s="80"/>
      <c r="EE69" s="80"/>
      <c r="FO69" s="80"/>
    </row>
    <row r="70" spans="36:171">
      <c r="AJ70" s="80"/>
      <c r="AS70" s="80"/>
      <c r="BB70" s="80"/>
      <c r="BT70" s="80"/>
      <c r="CC70" s="80"/>
      <c r="CL70" s="80"/>
      <c r="CU70" s="80"/>
      <c r="EE70" s="80"/>
      <c r="FO70" s="80"/>
    </row>
    <row r="71" spans="36:171">
      <c r="AJ71" s="80"/>
      <c r="AS71" s="80"/>
      <c r="BB71" s="80"/>
      <c r="BT71" s="80"/>
      <c r="CC71" s="80"/>
      <c r="CL71" s="80"/>
      <c r="CU71" s="80"/>
      <c r="EE71" s="80"/>
    </row>
    <row r="72" spans="36:171">
      <c r="AJ72" s="80"/>
      <c r="AS72" s="80"/>
      <c r="BB72" s="80"/>
      <c r="BT72" s="80"/>
      <c r="CC72" s="80"/>
      <c r="CL72" s="80"/>
      <c r="CU72" s="80"/>
      <c r="EE72" s="80"/>
    </row>
    <row r="73" spans="36:171">
      <c r="AJ73" s="80"/>
      <c r="AS73" s="80"/>
      <c r="BB73" s="80"/>
      <c r="BT73" s="80"/>
      <c r="CC73" s="80"/>
      <c r="CL73" s="80"/>
      <c r="EE73" s="80"/>
    </row>
    <row r="74" spans="36:171">
      <c r="AJ74" s="80"/>
      <c r="AS74" s="80"/>
      <c r="BB74" s="80"/>
      <c r="BT74" s="80"/>
      <c r="CC74" s="80"/>
      <c r="CL74" s="80"/>
      <c r="EE74" s="80"/>
    </row>
    <row r="75" spans="36:171">
      <c r="AJ75" s="80"/>
      <c r="AS75" s="80"/>
      <c r="BB75" s="80"/>
      <c r="BT75" s="80"/>
      <c r="CC75" s="80"/>
      <c r="CL75" s="80"/>
      <c r="EE75" s="80"/>
    </row>
    <row r="76" spans="36:171">
      <c r="AJ76" s="80"/>
      <c r="AS76" s="80"/>
      <c r="BB76" s="80"/>
      <c r="BT76" s="80"/>
      <c r="CC76" s="80"/>
      <c r="CL76" s="80"/>
      <c r="EE76" s="80"/>
    </row>
    <row r="77" spans="36:171">
      <c r="AJ77" s="80"/>
      <c r="AS77" s="80"/>
      <c r="BB77" s="80"/>
      <c r="BT77" s="80"/>
      <c r="CC77" s="80"/>
      <c r="CL77" s="80"/>
      <c r="EE77" s="80"/>
    </row>
    <row r="78" spans="36:171">
      <c r="AJ78" s="80"/>
      <c r="AS78" s="80"/>
      <c r="BB78" s="80"/>
      <c r="BT78" s="80"/>
      <c r="CC78" s="80"/>
      <c r="CL78" s="80"/>
      <c r="EE78" s="80"/>
    </row>
    <row r="79" spans="36:171">
      <c r="AJ79" s="80"/>
      <c r="AS79" s="80"/>
      <c r="BB79" s="80"/>
      <c r="BT79" s="80"/>
      <c r="CC79" s="80"/>
      <c r="CL79" s="80"/>
    </row>
    <row r="80" spans="36:171">
      <c r="AJ80" s="80"/>
      <c r="AS80" s="80"/>
      <c r="BB80" s="80"/>
      <c r="BT80" s="80"/>
      <c r="CC80" s="80"/>
      <c r="CL80" s="80"/>
    </row>
    <row r="81" spans="36:90">
      <c r="AJ81" s="80"/>
      <c r="AS81" s="80"/>
      <c r="BB81" s="80"/>
      <c r="BT81" s="80"/>
      <c r="CC81" s="80"/>
      <c r="CL81" s="80"/>
    </row>
    <row r="82" spans="36:90">
      <c r="AJ82" s="80"/>
      <c r="AS82" s="80"/>
      <c r="BB82" s="80"/>
      <c r="BT82" s="80"/>
      <c r="CC82" s="80"/>
      <c r="CL82" s="80"/>
    </row>
    <row r="83" spans="36:90">
      <c r="AJ83" s="80"/>
      <c r="AS83" s="80"/>
      <c r="BB83" s="80"/>
      <c r="BT83" s="80"/>
      <c r="CC83" s="80"/>
      <c r="CL83" s="80"/>
    </row>
    <row r="84" spans="36:90">
      <c r="AJ84" s="80"/>
      <c r="AS84" s="80"/>
      <c r="BB84" s="80"/>
      <c r="BT84" s="80"/>
      <c r="CC84" s="80"/>
      <c r="CL84" s="80"/>
    </row>
    <row r="85" spans="36:90">
      <c r="AJ85" s="80"/>
      <c r="AS85" s="80"/>
      <c r="BB85" s="80"/>
      <c r="BT85" s="80"/>
      <c r="CC85" s="80"/>
      <c r="CL85" s="80"/>
    </row>
    <row r="86" spans="36:90">
      <c r="AJ86" s="80"/>
      <c r="AS86" s="80"/>
      <c r="BB86" s="80"/>
      <c r="BT86" s="80"/>
      <c r="CC86" s="80"/>
      <c r="CL86" s="80"/>
    </row>
    <row r="87" spans="36:90">
      <c r="AJ87" s="80"/>
      <c r="AS87" s="80"/>
      <c r="BB87" s="80"/>
      <c r="BT87" s="80"/>
      <c r="CC87" s="80"/>
      <c r="CL87" s="80"/>
    </row>
    <row r="88" spans="36:90">
      <c r="AJ88" s="80"/>
      <c r="AS88" s="80"/>
      <c r="BB88" s="80"/>
      <c r="BT88" s="80"/>
      <c r="CC88" s="80"/>
      <c r="CL88" s="80"/>
    </row>
    <row r="89" spans="36:90">
      <c r="AJ89" s="80"/>
      <c r="BB89" s="80"/>
      <c r="BT89" s="80"/>
      <c r="CC89" s="80"/>
      <c r="CL89" s="80"/>
    </row>
    <row r="90" spans="36:90">
      <c r="AJ90" s="80"/>
      <c r="BB90" s="80"/>
      <c r="BT90" s="80"/>
      <c r="CC90" s="80"/>
      <c r="CL90" s="80"/>
    </row>
    <row r="91" spans="36:90">
      <c r="AJ91" s="80"/>
      <c r="BB91" s="80"/>
      <c r="BT91" s="80"/>
      <c r="CC91" s="80"/>
      <c r="CL91" s="80"/>
    </row>
    <row r="92" spans="36:90">
      <c r="AJ92" s="80"/>
      <c r="BB92" s="80"/>
      <c r="BT92" s="80"/>
      <c r="CC92" s="80"/>
      <c r="CL92" s="80"/>
    </row>
    <row r="93" spans="36:90">
      <c r="AJ93" s="80"/>
      <c r="BB93" s="80"/>
      <c r="BT93" s="80"/>
      <c r="CC93" s="80"/>
      <c r="CL93" s="80"/>
    </row>
    <row r="94" spans="36:90">
      <c r="AJ94" s="80"/>
      <c r="BB94" s="80"/>
      <c r="BT94" s="80"/>
      <c r="CC94" s="80"/>
      <c r="CL94" s="80"/>
    </row>
    <row r="95" spans="36:90">
      <c r="AJ95" s="80"/>
      <c r="BB95" s="80"/>
      <c r="BT95" s="80"/>
      <c r="CC95" s="80"/>
      <c r="CL95" s="80"/>
    </row>
    <row r="96" spans="36:90">
      <c r="AJ96" s="80"/>
      <c r="BB96" s="80"/>
      <c r="BT96" s="80"/>
      <c r="CC96" s="80"/>
      <c r="CL96" s="80"/>
    </row>
    <row r="97" spans="36:90">
      <c r="AJ97" s="80"/>
      <c r="BB97" s="80"/>
      <c r="BT97" s="80"/>
      <c r="CC97" s="80"/>
      <c r="CL97" s="80"/>
    </row>
    <row r="98" spans="36:90">
      <c r="AJ98" s="80"/>
      <c r="BB98" s="80"/>
      <c r="BT98" s="80"/>
      <c r="CC98" s="80"/>
      <c r="CL98" s="80"/>
    </row>
    <row r="99" spans="36:90">
      <c r="AJ99" s="80"/>
      <c r="BB99" s="80"/>
      <c r="BT99" s="80"/>
      <c r="CC99" s="80"/>
      <c r="CL99" s="80"/>
    </row>
    <row r="100" spans="36:90">
      <c r="AJ100" s="80"/>
      <c r="BB100" s="80"/>
      <c r="BT100" s="80"/>
      <c r="CC100" s="80"/>
      <c r="CL100" s="80"/>
    </row>
    <row r="101" spans="36:90">
      <c r="AJ101" s="80"/>
      <c r="BB101" s="80"/>
      <c r="BT101" s="80"/>
      <c r="CC101" s="80"/>
      <c r="CL101" s="80"/>
    </row>
    <row r="102" spans="36:90">
      <c r="AJ102" s="80"/>
      <c r="BB102" s="80"/>
      <c r="BT102" s="80"/>
      <c r="CC102" s="80"/>
      <c r="CL102" s="80"/>
    </row>
    <row r="103" spans="36:90">
      <c r="AJ103" s="80"/>
      <c r="BB103" s="80"/>
      <c r="BT103" s="80"/>
      <c r="CC103" s="80"/>
      <c r="CL103" s="80"/>
    </row>
    <row r="104" spans="36:90">
      <c r="AJ104" s="80"/>
      <c r="BB104" s="80"/>
      <c r="BT104" s="80"/>
      <c r="CC104" s="80"/>
      <c r="CL104" s="80"/>
    </row>
    <row r="105" spans="36:90">
      <c r="AJ105" s="80"/>
      <c r="BB105" s="80"/>
      <c r="BT105" s="80"/>
      <c r="CL105" s="80"/>
    </row>
    <row r="106" spans="36:90">
      <c r="AJ106" s="80"/>
      <c r="BB106" s="80"/>
      <c r="BT106" s="80"/>
    </row>
    <row r="107" spans="36:90">
      <c r="AJ107" s="80"/>
      <c r="BB107" s="80"/>
      <c r="BT107" s="80"/>
    </row>
    <row r="108" spans="36:90">
      <c r="AJ108" s="80"/>
      <c r="BB108" s="80"/>
      <c r="BT108" s="80"/>
    </row>
    <row r="109" spans="36:90">
      <c r="AJ109" s="80"/>
      <c r="BB109" s="80"/>
      <c r="BT109" s="80"/>
    </row>
    <row r="110" spans="36:90">
      <c r="AJ110" s="80"/>
      <c r="BB110" s="80"/>
      <c r="BT110" s="80"/>
    </row>
    <row r="111" spans="36:90">
      <c r="AJ111" s="80"/>
      <c r="BB111" s="80"/>
      <c r="BT111" s="80"/>
    </row>
    <row r="112" spans="36:90">
      <c r="AJ112" s="80"/>
      <c r="BB112" s="80"/>
      <c r="BT112" s="80"/>
    </row>
    <row r="113" spans="36:72">
      <c r="AJ113" s="80"/>
      <c r="BB113" s="80"/>
      <c r="BT113" s="80"/>
    </row>
    <row r="114" spans="36:72">
      <c r="AJ114" s="80"/>
      <c r="BB114" s="80"/>
      <c r="BT114" s="80"/>
    </row>
    <row r="115" spans="36:72">
      <c r="AJ115" s="80"/>
      <c r="BB115" s="80"/>
      <c r="BT115" s="80"/>
    </row>
    <row r="116" spans="36:72">
      <c r="AJ116" s="80"/>
      <c r="BB116" s="80"/>
      <c r="BT116" s="80"/>
    </row>
    <row r="117" spans="36:72">
      <c r="AJ117" s="80"/>
      <c r="BB117" s="80"/>
      <c r="BT117" s="80"/>
    </row>
    <row r="118" spans="36:72">
      <c r="AJ118" s="80"/>
      <c r="BB118" s="80"/>
      <c r="BT118" s="80"/>
    </row>
    <row r="119" spans="36:72">
      <c r="AJ119" s="80"/>
      <c r="BB119" s="80"/>
      <c r="BT119" s="80"/>
    </row>
    <row r="120" spans="36:72">
      <c r="AJ120" s="80"/>
      <c r="BB120" s="80"/>
      <c r="BT120" s="80"/>
    </row>
    <row r="121" spans="36:72">
      <c r="AJ121" s="80"/>
      <c r="BB121" s="80"/>
      <c r="BT121" s="80"/>
    </row>
    <row r="122" spans="36:72">
      <c r="AJ122" s="80"/>
      <c r="BB122" s="80"/>
      <c r="BT122" s="80"/>
    </row>
    <row r="123" spans="36:72">
      <c r="AJ123" s="80"/>
      <c r="BB123" s="80"/>
      <c r="BT123" s="80"/>
    </row>
    <row r="124" spans="36:72">
      <c r="AJ124" s="80"/>
      <c r="BB124" s="80"/>
      <c r="BT124" s="80"/>
    </row>
    <row r="125" spans="36:72">
      <c r="AJ125" s="80"/>
      <c r="BB125" s="80"/>
      <c r="BT125" s="80"/>
    </row>
    <row r="126" spans="36:72">
      <c r="AJ126" s="80"/>
      <c r="BB126" s="80"/>
      <c r="BT126" s="80"/>
    </row>
    <row r="127" spans="36:72">
      <c r="AJ127" s="80"/>
      <c r="BB127" s="80"/>
    </row>
    <row r="128" spans="36:72">
      <c r="AJ128" s="80"/>
      <c r="BB128" s="80"/>
    </row>
    <row r="129" spans="54:54">
      <c r="BB129" s="80"/>
    </row>
    <row r="130" spans="54:54">
      <c r="BB130" s="80"/>
    </row>
    <row r="131" spans="54:54">
      <c r="BB131" s="80"/>
    </row>
    <row r="132" spans="54:54">
      <c r="BB132" s="80"/>
    </row>
    <row r="133" spans="54:54">
      <c r="BB133" s="80"/>
    </row>
    <row r="134" spans="54:54">
      <c r="BB134" s="80"/>
    </row>
    <row r="135" spans="54:54">
      <c r="BB135" s="80"/>
    </row>
    <row r="136" spans="54:54">
      <c r="BB136" s="80"/>
    </row>
    <row r="137" spans="54:54">
      <c r="BB137" s="80"/>
    </row>
    <row r="138" spans="54:54">
      <c r="BB138" s="80"/>
    </row>
    <row r="139" spans="54:54">
      <c r="BB139" s="80"/>
    </row>
    <row r="140" spans="54:54">
      <c r="BB140" s="80"/>
    </row>
    <row r="141" spans="54:54">
      <c r="BB141" s="80"/>
    </row>
    <row r="142" spans="54:54">
      <c r="BB142" s="80"/>
    </row>
    <row r="143" spans="54:54">
      <c r="BB143" s="80"/>
    </row>
    <row r="144" spans="54:54">
      <c r="BB144" s="80"/>
    </row>
    <row r="145" spans="54:54">
      <c r="BB145" s="80"/>
    </row>
    <row r="146" spans="54:54">
      <c r="BB146" s="80"/>
    </row>
    <row r="147" spans="54:54">
      <c r="BB147" s="80"/>
    </row>
    <row r="148" spans="54:54">
      <c r="BB148" s="80"/>
    </row>
    <row r="149" spans="54:54">
      <c r="BB149" s="80"/>
    </row>
    <row r="150" spans="54:54">
      <c r="BB150" s="80"/>
    </row>
    <row r="151" spans="54:54">
      <c r="BB151" s="80"/>
    </row>
    <row r="152" spans="54:54">
      <c r="BB152" s="80"/>
    </row>
    <row r="153" spans="54:54">
      <c r="BB153" s="80"/>
    </row>
    <row r="154" spans="54:54">
      <c r="BB154" s="80"/>
    </row>
    <row r="155" spans="54:54">
      <c r="BB155" s="80"/>
    </row>
    <row r="156" spans="54:54">
      <c r="BB156" s="80"/>
    </row>
    <row r="157" spans="54:54">
      <c r="BB157" s="80"/>
    </row>
    <row r="158" spans="54:54">
      <c r="BB158" s="80"/>
    </row>
    <row r="159" spans="54:54">
      <c r="BB159" s="80"/>
    </row>
    <row r="160" spans="54:54">
      <c r="BB160" s="80"/>
    </row>
    <row r="161" spans="54:54">
      <c r="BB161" s="80"/>
    </row>
    <row r="162" spans="54:54">
      <c r="BB162" s="80"/>
    </row>
    <row r="163" spans="54:54">
      <c r="BB163" s="80"/>
    </row>
    <row r="164" spans="54:54">
      <c r="BB164" s="80"/>
    </row>
    <row r="165" spans="54:54">
      <c r="BB165" s="80"/>
    </row>
    <row r="166" spans="54:54">
      <c r="BB166" s="80"/>
    </row>
    <row r="167" spans="54:54">
      <c r="BB167" s="80"/>
    </row>
    <row r="168" spans="54:54">
      <c r="BB168" s="80"/>
    </row>
    <row r="169" spans="54:54">
      <c r="BB169" s="80"/>
    </row>
    <row r="170" spans="54:54">
      <c r="BB170" s="80"/>
    </row>
    <row r="171" spans="54:54">
      <c r="BB171" s="80"/>
    </row>
    <row r="172" spans="54:54">
      <c r="BB172" s="80"/>
    </row>
    <row r="173" spans="54:54">
      <c r="BB173" s="80"/>
    </row>
    <row r="174" spans="54:54">
      <c r="BB174" s="80"/>
    </row>
    <row r="175" spans="54:54">
      <c r="BB175" s="80"/>
    </row>
    <row r="176" spans="54:54">
      <c r="BB176" s="80"/>
    </row>
    <row r="177" spans="54:54">
      <c r="BB177" s="80"/>
    </row>
    <row r="178" spans="54:54">
      <c r="BB178" s="80"/>
    </row>
    <row r="179" spans="54:54">
      <c r="BB179" s="80"/>
    </row>
    <row r="180" spans="54:54">
      <c r="BB180" s="80"/>
    </row>
    <row r="181" spans="54:54">
      <c r="BB181" s="80"/>
    </row>
    <row r="182" spans="54:54">
      <c r="BB182" s="80"/>
    </row>
    <row r="183" spans="54:54">
      <c r="BB183" s="80"/>
    </row>
    <row r="184" spans="54:54">
      <c r="BB184" s="80"/>
    </row>
    <row r="185" spans="54:54">
      <c r="BB185" s="80"/>
    </row>
    <row r="186" spans="54:54">
      <c r="BB186" s="80"/>
    </row>
    <row r="187" spans="54:54">
      <c r="BB187" s="80"/>
    </row>
    <row r="188" spans="54:54">
      <c r="BB188" s="80"/>
    </row>
    <row r="189" spans="54:54">
      <c r="BB189" s="80"/>
    </row>
    <row r="190" spans="54:54">
      <c r="BB190" s="80"/>
    </row>
    <row r="191" spans="54:54">
      <c r="BB191" s="80"/>
    </row>
    <row r="192" spans="54:54">
      <c r="BB192" s="80"/>
    </row>
    <row r="193" spans="54:54">
      <c r="BB193" s="80"/>
    </row>
    <row r="194" spans="54:54">
      <c r="BB194" s="80"/>
    </row>
    <row r="195" spans="54:54">
      <c r="BB195" s="80"/>
    </row>
    <row r="196" spans="54:54">
      <c r="BB196" s="80"/>
    </row>
    <row r="197" spans="54:54">
      <c r="BB197" s="80"/>
    </row>
    <row r="198" spans="54:54">
      <c r="BB198" s="80"/>
    </row>
    <row r="199" spans="54:54">
      <c r="BB199" s="80"/>
    </row>
    <row r="200" spans="54:54">
      <c r="BB200" s="80"/>
    </row>
    <row r="201" spans="54:54">
      <c r="BB201" s="80"/>
    </row>
    <row r="202" spans="54:54">
      <c r="BB202" s="80"/>
    </row>
    <row r="203" spans="54:54">
      <c r="BB203" s="80"/>
    </row>
    <row r="204" spans="54:54">
      <c r="BB204" s="80"/>
    </row>
    <row r="205" spans="54:54">
      <c r="BB205" s="80"/>
    </row>
    <row r="206" spans="54:54">
      <c r="BB206" s="80"/>
    </row>
    <row r="207" spans="54:54">
      <c r="BB207" s="80"/>
    </row>
    <row r="208" spans="54:54">
      <c r="BB208" s="80"/>
    </row>
    <row r="209" spans="54:54">
      <c r="BB209" s="80"/>
    </row>
    <row r="210" spans="54:54">
      <c r="BB210" s="80"/>
    </row>
    <row r="211" spans="54:54">
      <c r="BB211" s="80"/>
    </row>
    <row r="212" spans="54:54">
      <c r="BB212" s="80"/>
    </row>
    <row r="213" spans="54:54">
      <c r="BB213" s="80"/>
    </row>
    <row r="214" spans="54:54">
      <c r="BB214" s="80"/>
    </row>
    <row r="215" spans="54:54">
      <c r="BB215" s="80"/>
    </row>
    <row r="216" spans="54:54">
      <c r="BB216" s="80"/>
    </row>
    <row r="217" spans="54:54">
      <c r="BB217" s="80"/>
    </row>
    <row r="218" spans="54:54">
      <c r="BB218" s="80"/>
    </row>
    <row r="219" spans="54:54">
      <c r="BB219" s="80"/>
    </row>
    <row r="220" spans="54:54">
      <c r="BB220" s="80"/>
    </row>
    <row r="221" spans="54:54">
      <c r="BB221" s="80"/>
    </row>
    <row r="222" spans="54:54">
      <c r="BB222" s="80"/>
    </row>
    <row r="223" spans="54:54">
      <c r="BB223" s="80"/>
    </row>
    <row r="224" spans="54:54">
      <c r="BB224" s="80"/>
    </row>
    <row r="225" spans="54:54">
      <c r="BB225" s="80"/>
    </row>
    <row r="226" spans="54:54">
      <c r="BB226" s="80"/>
    </row>
    <row r="227" spans="54:54">
      <c r="BB227" s="80"/>
    </row>
    <row r="228" spans="54:54">
      <c r="BB228" s="80"/>
    </row>
    <row r="229" spans="54:54">
      <c r="BB229" s="80"/>
    </row>
    <row r="230" spans="54:54">
      <c r="BB230" s="80"/>
    </row>
    <row r="231" spans="54:54">
      <c r="BB231" s="80"/>
    </row>
    <row r="232" spans="54:54">
      <c r="BB232" s="80"/>
    </row>
    <row r="233" spans="54:54">
      <c r="BB233" s="80"/>
    </row>
    <row r="234" spans="54:54">
      <c r="BB234" s="80"/>
    </row>
    <row r="235" spans="54:54">
      <c r="BB235" s="80"/>
    </row>
    <row r="236" spans="54:54">
      <c r="BB236" s="80"/>
    </row>
    <row r="237" spans="54:54">
      <c r="BB237" s="80"/>
    </row>
    <row r="238" spans="54:54">
      <c r="BB238" s="80"/>
    </row>
    <row r="239" spans="54:54">
      <c r="BB239" s="80"/>
    </row>
    <row r="240" spans="54:54">
      <c r="BB240" s="80"/>
    </row>
    <row r="241" spans="54:54">
      <c r="BB241" s="80"/>
    </row>
    <row r="242" spans="54:54">
      <c r="BB242" s="80"/>
    </row>
    <row r="243" spans="54:54">
      <c r="BB243" s="80"/>
    </row>
    <row r="244" spans="54:54">
      <c r="BB244" s="80"/>
    </row>
    <row r="245" spans="54:54">
      <c r="BB245" s="80"/>
    </row>
    <row r="246" spans="54:54">
      <c r="BB246" s="80"/>
    </row>
    <row r="247" spans="54:54">
      <c r="BB247" s="80"/>
    </row>
    <row r="248" spans="54:54">
      <c r="BB248" s="80"/>
    </row>
    <row r="249" spans="54:54">
      <c r="BB249" s="80"/>
    </row>
    <row r="250" spans="54:54">
      <c r="BB250" s="80"/>
    </row>
    <row r="251" spans="54:54">
      <c r="BB251" s="80"/>
    </row>
    <row r="252" spans="54:54">
      <c r="BB252" s="80"/>
    </row>
    <row r="253" spans="54:54">
      <c r="BB253" s="80"/>
    </row>
    <row r="254" spans="54:54">
      <c r="BB254" s="80"/>
    </row>
    <row r="255" spans="54:54">
      <c r="BB255" s="80"/>
    </row>
    <row r="256" spans="54:54">
      <c r="BB256" s="80"/>
    </row>
    <row r="257" spans="54:54">
      <c r="BB257" s="80"/>
    </row>
    <row r="258" spans="54:54">
      <c r="BB258" s="80"/>
    </row>
    <row r="259" spans="54:54">
      <c r="BB259" s="80"/>
    </row>
    <row r="260" spans="54:54">
      <c r="BB260" s="80"/>
    </row>
    <row r="261" spans="54:54">
      <c r="BB261" s="80"/>
    </row>
    <row r="262" spans="54:54">
      <c r="BB262" s="80"/>
    </row>
    <row r="263" spans="54:54">
      <c r="BB263" s="80"/>
    </row>
    <row r="264" spans="54:54">
      <c r="BB264" s="80"/>
    </row>
    <row r="265" spans="54:54">
      <c r="BB265" s="80"/>
    </row>
    <row r="266" spans="54:54">
      <c r="BB266" s="80"/>
    </row>
    <row r="267" spans="54:54">
      <c r="BB267" s="80"/>
    </row>
    <row r="268" spans="54:54">
      <c r="BB268" s="80"/>
    </row>
    <row r="269" spans="54:54">
      <c r="BB269" s="80"/>
    </row>
    <row r="270" spans="54:54">
      <c r="BB270" s="80"/>
    </row>
    <row r="271" spans="54:54">
      <c r="BB271" s="80"/>
    </row>
    <row r="272" spans="54:54">
      <c r="BB272" s="80"/>
    </row>
    <row r="273" spans="54:54">
      <c r="BB273" s="80"/>
    </row>
    <row r="274" spans="54:54">
      <c r="BB274" s="80"/>
    </row>
    <row r="275" spans="54:54">
      <c r="BB275" s="80"/>
    </row>
    <row r="276" spans="54:54">
      <c r="BB276" s="80"/>
    </row>
    <row r="277" spans="54:54">
      <c r="BB277" s="80"/>
    </row>
    <row r="278" spans="54:54">
      <c r="BB278" s="80"/>
    </row>
    <row r="279" spans="54:54">
      <c r="BB279" s="80"/>
    </row>
    <row r="280" spans="54:54">
      <c r="BB280" s="80"/>
    </row>
    <row r="281" spans="54:54">
      <c r="BB281" s="80"/>
    </row>
    <row r="282" spans="54:54">
      <c r="BB282" s="80"/>
    </row>
    <row r="283" spans="54:54">
      <c r="BB283" s="80"/>
    </row>
    <row r="284" spans="54:54">
      <c r="BB284" s="80"/>
    </row>
    <row r="285" spans="54:54">
      <c r="BB285" s="80"/>
    </row>
    <row r="286" spans="54:54">
      <c r="BB286" s="80"/>
    </row>
    <row r="287" spans="54:54">
      <c r="BB287" s="80"/>
    </row>
    <row r="288" spans="54:54">
      <c r="BB288" s="80"/>
    </row>
    <row r="289" spans="54:54">
      <c r="BB289" s="80"/>
    </row>
    <row r="290" spans="54:54">
      <c r="BB290" s="80"/>
    </row>
    <row r="291" spans="54:54">
      <c r="BB291" s="80"/>
    </row>
    <row r="292" spans="54:54">
      <c r="BB292" s="80"/>
    </row>
    <row r="293" spans="54:54">
      <c r="BB293" s="80"/>
    </row>
    <row r="294" spans="54:54">
      <c r="BB294" s="80"/>
    </row>
    <row r="295" spans="54:54">
      <c r="BB295" s="80"/>
    </row>
    <row r="296" spans="54:54">
      <c r="BB296" s="80"/>
    </row>
    <row r="297" spans="54:54">
      <c r="BB297" s="80"/>
    </row>
    <row r="298" spans="54:54">
      <c r="BB298" s="80"/>
    </row>
    <row r="299" spans="54:54">
      <c r="BB299" s="80"/>
    </row>
    <row r="300" spans="54:54">
      <c r="BB300" s="80"/>
    </row>
    <row r="301" spans="54:54">
      <c r="BB301" s="80"/>
    </row>
    <row r="302" spans="54:54">
      <c r="BB302" s="80"/>
    </row>
    <row r="303" spans="54:54">
      <c r="BB303" s="80"/>
    </row>
    <row r="304" spans="54:54">
      <c r="BB304" s="80"/>
    </row>
    <row r="305" spans="54:54">
      <c r="BB305" s="80"/>
    </row>
    <row r="306" spans="54:54">
      <c r="BB306" s="80"/>
    </row>
    <row r="307" spans="54:54">
      <c r="BB307" s="80"/>
    </row>
    <row r="308" spans="54:54">
      <c r="BB308" s="80"/>
    </row>
    <row r="309" spans="54:54">
      <c r="BB309" s="80"/>
    </row>
    <row r="310" spans="54:54">
      <c r="BB310" s="80"/>
    </row>
    <row r="311" spans="54:54">
      <c r="BB311" s="80"/>
    </row>
    <row r="312" spans="54:54">
      <c r="BB312" s="80"/>
    </row>
    <row r="313" spans="54:54">
      <c r="BB313" s="80"/>
    </row>
    <row r="314" spans="54:54">
      <c r="BB314" s="80"/>
    </row>
    <row r="315" spans="54:54">
      <c r="BB315" s="80"/>
    </row>
    <row r="316" spans="54:54">
      <c r="BB316" s="80"/>
    </row>
    <row r="317" spans="54:54">
      <c r="BB317" s="80"/>
    </row>
    <row r="318" spans="54:54">
      <c r="BB318" s="80"/>
    </row>
    <row r="319" spans="54:54">
      <c r="BB319" s="80"/>
    </row>
    <row r="320" spans="54:54">
      <c r="BB320" s="80"/>
    </row>
    <row r="321" spans="54:54">
      <c r="BB321" s="80"/>
    </row>
    <row r="322" spans="54:54">
      <c r="BB322" s="80"/>
    </row>
    <row r="323" spans="54:54">
      <c r="BB323" s="80"/>
    </row>
    <row r="324" spans="54:54">
      <c r="BB324" s="80"/>
    </row>
    <row r="325" spans="54:54">
      <c r="BB325" s="80"/>
    </row>
    <row r="326" spans="54:54">
      <c r="BB326" s="80"/>
    </row>
    <row r="327" spans="54:54">
      <c r="BB327" s="80"/>
    </row>
    <row r="328" spans="54:54">
      <c r="BB328" s="80"/>
    </row>
    <row r="329" spans="54:54">
      <c r="BB329" s="80"/>
    </row>
    <row r="330" spans="54:54">
      <c r="BB330" s="80"/>
    </row>
    <row r="331" spans="54:54">
      <c r="BB331" s="80"/>
    </row>
    <row r="332" spans="54:54">
      <c r="BB332" s="80"/>
    </row>
    <row r="333" spans="54:54">
      <c r="BB333" s="80"/>
    </row>
    <row r="334" spans="54:54">
      <c r="BB334" s="80"/>
    </row>
    <row r="335" spans="54:54">
      <c r="BB335" s="80"/>
    </row>
    <row r="336" spans="54:54">
      <c r="BB336" s="80"/>
    </row>
    <row r="337" spans="54:54">
      <c r="BB337" s="80"/>
    </row>
    <row r="338" spans="54:54">
      <c r="BB338" s="80"/>
    </row>
    <row r="339" spans="54:54">
      <c r="BB339" s="80"/>
    </row>
    <row r="340" spans="54:54">
      <c r="BB340" s="80"/>
    </row>
    <row r="341" spans="54:54">
      <c r="BB341" s="80"/>
    </row>
    <row r="342" spans="54:54">
      <c r="BB342" s="80"/>
    </row>
    <row r="343" spans="54:54">
      <c r="BB343" s="80"/>
    </row>
    <row r="344" spans="54:54">
      <c r="BB344" s="80"/>
    </row>
    <row r="345" spans="54:54">
      <c r="BB345" s="80"/>
    </row>
    <row r="346" spans="54:54">
      <c r="BB346" s="80"/>
    </row>
    <row r="347" spans="54:54">
      <c r="BB347" s="80"/>
    </row>
    <row r="348" spans="54:54">
      <c r="BB348" s="80"/>
    </row>
    <row r="349" spans="54:54">
      <c r="BB349" s="80"/>
    </row>
    <row r="350" spans="54:54">
      <c r="BB350" s="80"/>
    </row>
    <row r="351" spans="54:54">
      <c r="BB351" s="80"/>
    </row>
    <row r="352" spans="54:54">
      <c r="BB352" s="80"/>
    </row>
    <row r="353" spans="54:54">
      <c r="BB353" s="80"/>
    </row>
    <row r="354" spans="54:54">
      <c r="BB354" s="80"/>
    </row>
    <row r="355" spans="54:54">
      <c r="BB355" s="80"/>
    </row>
    <row r="356" spans="54:54">
      <c r="BB356" s="80"/>
    </row>
    <row r="357" spans="54:54">
      <c r="BB357" s="80"/>
    </row>
    <row r="358" spans="54:54">
      <c r="BB358" s="80"/>
    </row>
    <row r="359" spans="54:54">
      <c r="BB359" s="80"/>
    </row>
    <row r="360" spans="54:54">
      <c r="BB360" s="80"/>
    </row>
    <row r="361" spans="54:54">
      <c r="BB361" s="80"/>
    </row>
    <row r="362" spans="54:54">
      <c r="BB362" s="80"/>
    </row>
    <row r="363" spans="54:54">
      <c r="BB363" s="80"/>
    </row>
    <row r="364" spans="54:54">
      <c r="BB364" s="80"/>
    </row>
    <row r="365" spans="54:54">
      <c r="BB365" s="80"/>
    </row>
    <row r="366" spans="54:54">
      <c r="BB366" s="80"/>
    </row>
    <row r="367" spans="54:54">
      <c r="BB367" s="80"/>
    </row>
    <row r="368" spans="54:54">
      <c r="BB368" s="80"/>
    </row>
    <row r="369" spans="54:54">
      <c r="BB369" s="80"/>
    </row>
    <row r="370" spans="54:54">
      <c r="BB370" s="80"/>
    </row>
    <row r="371" spans="54:54">
      <c r="BB371" s="80"/>
    </row>
    <row r="372" spans="54:54">
      <c r="BB372" s="80"/>
    </row>
    <row r="373" spans="54:54">
      <c r="BB373" s="80"/>
    </row>
    <row r="374" spans="54:54">
      <c r="BB374" s="80"/>
    </row>
    <row r="375" spans="54:54">
      <c r="BB375" s="80"/>
    </row>
    <row r="376" spans="54:54">
      <c r="BB376" s="80"/>
    </row>
    <row r="377" spans="54:54">
      <c r="BB377" s="80"/>
    </row>
    <row r="378" spans="54:54">
      <c r="BB378" s="80"/>
    </row>
    <row r="379" spans="54:54">
      <c r="BB379" s="80"/>
    </row>
    <row r="380" spans="54:54">
      <c r="BB380" s="80"/>
    </row>
    <row r="381" spans="54:54">
      <c r="BB381" s="80"/>
    </row>
    <row r="382" spans="54:54">
      <c r="BB382" s="80"/>
    </row>
    <row r="383" spans="54:54">
      <c r="BB383" s="80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sheetPr codeName="Sheet7"/>
  <dimension ref="B1:I5"/>
  <sheetViews>
    <sheetView showGridLines="0" workbookViewId="0"/>
  </sheetViews>
  <sheetFormatPr defaultRowHeight="17.399999999999999"/>
  <cols>
    <col min="1" max="16384" width="8.796875" style="71"/>
  </cols>
  <sheetData>
    <row r="1" spans="2:9" ht="7.95" customHeight="1"/>
    <row r="2" spans="2:9" ht="40.049999999999997" customHeight="1">
      <c r="B2" s="75"/>
      <c r="C2" s="76"/>
    </row>
    <row r="3" spans="2:9" ht="7.95" customHeight="1"/>
    <row r="4" spans="2:9" ht="19.95" customHeight="1">
      <c r="B4" s="72"/>
      <c r="C4" s="73"/>
      <c r="D4" s="73"/>
      <c r="E4" s="73"/>
      <c r="F4" s="73"/>
      <c r="G4" s="73"/>
      <c r="H4" s="73"/>
      <c r="I4" s="73"/>
    </row>
    <row r="5" spans="2:9" ht="19.95" customHeight="1">
      <c r="B5" s="74"/>
      <c r="C5" s="74"/>
      <c r="D5" s="74"/>
      <c r="E5" s="74"/>
      <c r="F5" s="74"/>
      <c r="G5" s="74"/>
      <c r="H5" s="74"/>
      <c r="I5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1</vt:i4>
      </vt:variant>
    </vt:vector>
  </HeadingPairs>
  <TitlesOfParts>
    <vt:vector size="8" baseType="lpstr">
      <vt:lpstr>종합데이터</vt:lpstr>
      <vt:lpstr>공통졸업요건</vt:lpstr>
      <vt:lpstr>전공별졸업요건</vt:lpstr>
      <vt:lpstr>기초및전공과목</vt:lpstr>
      <vt:lpstr>교양-예체능-연구</vt:lpstr>
      <vt:lpstr>전체개설과목정보</vt:lpstr>
      <vt:lpstr>수강과목요약</vt:lpstr>
      <vt:lpstr>종합데이터!Criteria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2021-11-04T17:31:40Z</dcterms:modified>
</cp:coreProperties>
</file>