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lpencloud\Public\6 - Finance\5 - Financials\"/>
    </mc:Choice>
  </mc:AlternateContent>
  <bookViews>
    <workbookView xWindow="240" yWindow="150" windowWidth="20730" windowHeight="11760"/>
  </bookViews>
  <sheets>
    <sheet name="2017-18 Actual &amp; Projection" sheetId="4" r:id="rId1"/>
    <sheet name="Electricity Bills" sheetId="7" r:id="rId2"/>
    <sheet name="CBIB" sheetId="1" r:id="rId3"/>
    <sheet name="ADSL" sheetId="2" r:id="rId4"/>
    <sheet name="Expense Sheet ADSL &amp; CBIB" sheetId="3" r:id="rId5"/>
    <sheet name="Cash Expenses" sheetId="6" r:id="rId6"/>
    <sheet name="Pivot" sheetId="5" r:id="rId7"/>
  </sheets>
  <definedNames>
    <definedName name="_xlnm._FilterDatabase" localSheetId="3" hidden="1">ADSL!$K$216:$L$217</definedName>
    <definedName name="_xlnm._FilterDatabase" localSheetId="4" hidden="1">'Expense Sheet ADSL &amp; CBIB'!$A$5:$A$190</definedName>
  </definedNames>
  <calcPr calcId="15251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Q52" i="4" l="1"/>
  <c r="R52" i="4"/>
  <c r="S52" i="4" s="1"/>
  <c r="L10" i="4"/>
  <c r="S15" i="4" l="1"/>
  <c r="M9" i="4"/>
  <c r="L8" i="4"/>
  <c r="P10" i="4"/>
  <c r="O10" i="4"/>
  <c r="N10" i="4"/>
  <c r="M10" i="4"/>
  <c r="L11" i="4"/>
  <c r="L212" i="2"/>
  <c r="M212" i="2" s="1"/>
  <c r="M213" i="2" s="1"/>
  <c r="M214" i="2" s="1"/>
  <c r="L213" i="2"/>
  <c r="L214" i="2"/>
  <c r="M229" i="3"/>
  <c r="M230" i="3"/>
  <c r="M228" i="3"/>
  <c r="K23" i="1" l="1"/>
  <c r="L21" i="1"/>
  <c r="L209" i="2"/>
  <c r="L210" i="2"/>
  <c r="L211" i="2"/>
  <c r="M224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6" i="2"/>
  <c r="M6" i="2" s="1"/>
  <c r="H197" i="2"/>
  <c r="H199" i="2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5" i="3"/>
  <c r="M226" i="3"/>
  <c r="M227" i="3"/>
  <c r="J22" i="1"/>
  <c r="M7" i="2" l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G65" i="6"/>
  <c r="E66" i="6"/>
  <c r="F66" i="6"/>
  <c r="G64" i="6"/>
  <c r="G63" i="6"/>
  <c r="G62" i="6"/>
  <c r="G61" i="6"/>
  <c r="G59" i="6"/>
  <c r="G58" i="6"/>
  <c r="I214" i="3"/>
  <c r="I212" i="3"/>
  <c r="G60" i="6" l="1"/>
  <c r="G66" i="6" s="1"/>
  <c r="F12" i="7"/>
  <c r="F3" i="7"/>
  <c r="F4" i="7"/>
  <c r="F5" i="7"/>
  <c r="F6" i="7"/>
  <c r="F7" i="7"/>
  <c r="F8" i="7"/>
  <c r="F9" i="7"/>
  <c r="F10" i="7"/>
  <c r="F11" i="7"/>
  <c r="M59" i="4"/>
  <c r="N59" i="4" s="1"/>
  <c r="O59" i="4" s="1"/>
  <c r="P59" i="4" s="1"/>
  <c r="C11" i="7"/>
  <c r="C7" i="7" l="1"/>
  <c r="C8" i="7"/>
  <c r="C9" i="7"/>
  <c r="C10" i="7"/>
  <c r="C6" i="7"/>
  <c r="L62" i="4" l="1"/>
  <c r="M193" i="3" l="1"/>
  <c r="M192" i="3" l="1"/>
  <c r="M191" i="3"/>
  <c r="M188" i="3" l="1"/>
  <c r="M189" i="3"/>
  <c r="M190" i="3"/>
  <c r="Q17" i="4" l="1"/>
  <c r="R17" i="4" s="1"/>
  <c r="S17" i="4" s="1"/>
  <c r="L18" i="4" l="1"/>
  <c r="U28" i="4"/>
  <c r="U29" i="4" s="1"/>
  <c r="U30" i="4" s="1"/>
  <c r="U31" i="4" s="1"/>
  <c r="L57" i="4" l="1"/>
  <c r="E22" i="4"/>
  <c r="F20" i="4"/>
  <c r="G20" i="4"/>
  <c r="H20" i="4"/>
  <c r="I20" i="4"/>
  <c r="J20" i="4"/>
  <c r="K20" i="4"/>
  <c r="M20" i="4"/>
  <c r="N20" i="4"/>
  <c r="O20" i="4"/>
  <c r="P20" i="4"/>
  <c r="F43" i="4"/>
  <c r="I43" i="4"/>
  <c r="J43" i="4"/>
  <c r="K43" i="4"/>
  <c r="L43" i="4"/>
  <c r="M43" i="4"/>
  <c r="N43" i="4"/>
  <c r="O43" i="4"/>
  <c r="P43" i="4"/>
  <c r="E45" i="4"/>
  <c r="E56" i="4"/>
  <c r="E58" i="4"/>
  <c r="U23" i="4"/>
  <c r="L37" i="4"/>
  <c r="Q37" i="4" s="1"/>
  <c r="R37" i="4" s="1"/>
  <c r="S37" i="4" s="1"/>
  <c r="L40" i="4"/>
  <c r="L27" i="4"/>
  <c r="Q27" i="4" s="1"/>
  <c r="R27" i="4" s="1"/>
  <c r="S27" i="4" s="1"/>
  <c r="L26" i="4"/>
  <c r="Q26" i="4" s="1"/>
  <c r="R26" i="4" s="1"/>
  <c r="S26" i="4" s="1"/>
  <c r="M14" i="4"/>
  <c r="M7" i="4" s="1"/>
  <c r="N14" i="4"/>
  <c r="O14" i="4"/>
  <c r="P14" i="4"/>
  <c r="L42" i="4"/>
  <c r="Q42" i="4" s="1"/>
  <c r="R42" i="4" s="1"/>
  <c r="S42" i="4" s="1"/>
  <c r="L20" i="1"/>
  <c r="M176" i="3"/>
  <c r="M187" i="3"/>
  <c r="M186" i="3"/>
  <c r="M185" i="3"/>
  <c r="M184" i="3" l="1"/>
  <c r="M182" i="3" l="1"/>
  <c r="M181" i="3"/>
  <c r="M180" i="3"/>
  <c r="M179" i="3"/>
  <c r="M178" i="3"/>
  <c r="L218" i="2" l="1"/>
  <c r="K58" i="4"/>
  <c r="J58" i="4"/>
  <c r="L41" i="4" l="1"/>
  <c r="L20" i="4" s="1"/>
  <c r="M7" i="3"/>
  <c r="M9" i="3"/>
  <c r="M10" i="3"/>
  <c r="M11" i="3"/>
  <c r="M12" i="3"/>
  <c r="M14" i="3"/>
  <c r="M15" i="3"/>
  <c r="M17" i="3"/>
  <c r="M18" i="3"/>
  <c r="M19" i="3"/>
  <c r="M20" i="3"/>
  <c r="M21" i="3"/>
  <c r="M22" i="3"/>
  <c r="M25" i="3"/>
  <c r="M26" i="3"/>
  <c r="M30" i="3"/>
  <c r="M31" i="3"/>
  <c r="M33" i="3"/>
  <c r="M35" i="3"/>
  <c r="M36" i="3"/>
  <c r="M37" i="3"/>
  <c r="M38" i="3"/>
  <c r="M39" i="3"/>
  <c r="M40" i="3"/>
  <c r="M41" i="3"/>
  <c r="M42" i="3"/>
  <c r="M43" i="3"/>
  <c r="M44" i="3"/>
  <c r="M45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2" i="3"/>
  <c r="M123" i="3"/>
  <c r="M124" i="3"/>
  <c r="M125" i="3"/>
  <c r="M126" i="3"/>
  <c r="M128" i="3"/>
  <c r="M129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83" i="3"/>
  <c r="M177" i="3"/>
  <c r="G234" i="3"/>
  <c r="Q41" i="4" l="1"/>
  <c r="R41" i="4" s="1"/>
  <c r="S41" i="4" s="1"/>
  <c r="P7" i="6"/>
  <c r="P6" i="6"/>
  <c r="P5" i="6"/>
  <c r="P3" i="6"/>
  <c r="P4" i="6"/>
  <c r="E55" i="6"/>
  <c r="N54" i="6"/>
  <c r="G54" i="6"/>
  <c r="N53" i="6"/>
  <c r="G53" i="6"/>
  <c r="N52" i="6"/>
  <c r="G52" i="6"/>
  <c r="N51" i="6"/>
  <c r="N50" i="6"/>
  <c r="G50" i="6"/>
  <c r="N49" i="6"/>
  <c r="G49" i="6"/>
  <c r="E46" i="6"/>
  <c r="G45" i="6"/>
  <c r="N43" i="6"/>
  <c r="G43" i="6"/>
  <c r="G42" i="6"/>
  <c r="N41" i="6"/>
  <c r="F41" i="6"/>
  <c r="G41" i="6" s="1"/>
  <c r="N40" i="6"/>
  <c r="G40" i="6"/>
  <c r="N39" i="6"/>
  <c r="G39" i="6"/>
  <c r="N38" i="6"/>
  <c r="G38" i="6"/>
  <c r="G37" i="6"/>
  <c r="N35" i="6"/>
  <c r="F34" i="6"/>
  <c r="Q5" i="6" s="1"/>
  <c r="E34" i="6"/>
  <c r="G33" i="6"/>
  <c r="N32" i="6"/>
  <c r="G32" i="6"/>
  <c r="N31" i="6"/>
  <c r="G31" i="6"/>
  <c r="N30" i="6"/>
  <c r="G30" i="6"/>
  <c r="N29" i="6"/>
  <c r="G29" i="6"/>
  <c r="N28" i="6"/>
  <c r="G28" i="6"/>
  <c r="N27" i="6"/>
  <c r="N33" i="6" s="1"/>
  <c r="G27" i="6"/>
  <c r="G26" i="6"/>
  <c r="N25" i="6"/>
  <c r="N24" i="6"/>
  <c r="N23" i="6"/>
  <c r="F23" i="6"/>
  <c r="E23" i="6"/>
  <c r="N22" i="6"/>
  <c r="G22" i="6"/>
  <c r="N21" i="6"/>
  <c r="G21" i="6"/>
  <c r="N20" i="6"/>
  <c r="G20" i="6"/>
  <c r="N19" i="6"/>
  <c r="N17" i="6"/>
  <c r="F17" i="6"/>
  <c r="Q4" i="6" s="1"/>
  <c r="E17" i="6"/>
  <c r="N16" i="6"/>
  <c r="G16" i="6"/>
  <c r="N15" i="6"/>
  <c r="G15" i="6"/>
  <c r="N14" i="6"/>
  <c r="G14" i="6"/>
  <c r="M13" i="6"/>
  <c r="N13" i="6" s="1"/>
  <c r="G13" i="6"/>
  <c r="N12" i="6"/>
  <c r="G12" i="6"/>
  <c r="N11" i="6"/>
  <c r="N10" i="6"/>
  <c r="N9" i="6"/>
  <c r="F9" i="6"/>
  <c r="Q3" i="6" s="1"/>
  <c r="E9" i="6"/>
  <c r="G8" i="6"/>
  <c r="G4" i="6"/>
  <c r="G5" i="6" s="1"/>
  <c r="G6" i="6" s="1"/>
  <c r="G7" i="6" s="1"/>
  <c r="G34" i="6" l="1"/>
  <c r="F44" i="6" s="1"/>
  <c r="F46" i="6" s="1"/>
  <c r="Q6" i="6" s="1"/>
  <c r="G9" i="6"/>
  <c r="R3" i="6" s="1"/>
  <c r="G17" i="6"/>
  <c r="R4" i="6" s="1"/>
  <c r="N55" i="6"/>
  <c r="F51" i="6" s="1"/>
  <c r="F55" i="6" s="1"/>
  <c r="Q7" i="6" s="1"/>
  <c r="N42" i="6"/>
  <c r="N26" i="6"/>
  <c r="N18" i="6"/>
  <c r="N34" i="6" s="1"/>
  <c r="R5" i="6" l="1"/>
  <c r="G44" i="6"/>
  <c r="G46" i="6" s="1"/>
  <c r="R6" i="6" s="1"/>
  <c r="R8" i="6" s="1"/>
  <c r="G51" i="6"/>
  <c r="G55" i="6" s="1"/>
  <c r="R7" i="6" s="1"/>
  <c r="Q8" i="6"/>
  <c r="J215" i="2"/>
  <c r="K215" i="2"/>
  <c r="L215" i="2" l="1"/>
  <c r="G235" i="3" s="1"/>
  <c r="G236" i="3" s="1"/>
  <c r="L217" i="2" l="1"/>
  <c r="Q40" i="4" l="1"/>
  <c r="R40" i="4" s="1"/>
  <c r="S40" i="4" s="1"/>
  <c r="C7" i="4" l="1"/>
  <c r="Q14" i="4"/>
  <c r="R14" i="4" s="1"/>
  <c r="S14" i="4" s="1"/>
  <c r="Q13" i="4" l="1"/>
  <c r="R13" i="4" s="1"/>
  <c r="S13" i="4" s="1"/>
  <c r="K9" i="4"/>
  <c r="P9" i="4"/>
  <c r="O9" i="4"/>
  <c r="N9" i="4"/>
  <c r="L9" i="4"/>
  <c r="K16" i="4"/>
  <c r="K7" i="4" l="1"/>
  <c r="L8" i="1"/>
  <c r="L9" i="1"/>
  <c r="L10" i="1"/>
  <c r="L11" i="1"/>
  <c r="L12" i="1"/>
  <c r="L13" i="1"/>
  <c r="L14" i="1"/>
  <c r="L15" i="1"/>
  <c r="L17" i="1"/>
  <c r="L19" i="1"/>
  <c r="L7" i="1"/>
  <c r="Q268" i="3" l="1"/>
  <c r="L131" i="3"/>
  <c r="M131" i="3" s="1"/>
  <c r="L130" i="3"/>
  <c r="M130" i="3" s="1"/>
  <c r="L127" i="3"/>
  <c r="M127" i="3" s="1"/>
  <c r="L121" i="3"/>
  <c r="M121" i="3" s="1"/>
  <c r="L101" i="3"/>
  <c r="M101" i="3" s="1"/>
  <c r="L100" i="3"/>
  <c r="M100" i="3" s="1"/>
  <c r="L46" i="3"/>
  <c r="M46" i="3" s="1"/>
  <c r="G40" i="3"/>
  <c r="L34" i="3"/>
  <c r="M34" i="3" s="1"/>
  <c r="K32" i="3"/>
  <c r="J32" i="3"/>
  <c r="G32" i="3"/>
  <c r="W29" i="3"/>
  <c r="K29" i="3"/>
  <c r="I29" i="3"/>
  <c r="J29" i="3" s="1"/>
  <c r="G29" i="3"/>
  <c r="L28" i="3"/>
  <c r="M28" i="3" s="1"/>
  <c r="K27" i="3"/>
  <c r="M27" i="3" s="1"/>
  <c r="G27" i="3"/>
  <c r="L24" i="3"/>
  <c r="M24" i="3" s="1"/>
  <c r="L23" i="3"/>
  <c r="M23" i="3" s="1"/>
  <c r="V20" i="3"/>
  <c r="K16" i="3"/>
  <c r="I16" i="3"/>
  <c r="J16" i="3" s="1"/>
  <c r="G16" i="3"/>
  <c r="K13" i="3"/>
  <c r="M13" i="3" s="1"/>
  <c r="G13" i="3"/>
  <c r="I9" i="3"/>
  <c r="H9" i="3"/>
  <c r="L8" i="3"/>
  <c r="M8" i="3" s="1"/>
  <c r="V6" i="3"/>
  <c r="H6" i="3"/>
  <c r="I22" i="1"/>
  <c r="G22" i="1"/>
  <c r="F22" i="1"/>
  <c r="K18" i="1"/>
  <c r="L18" i="1" s="1"/>
  <c r="K16" i="1"/>
  <c r="H62" i="4"/>
  <c r="H58" i="4"/>
  <c r="G58" i="4"/>
  <c r="G54" i="4" s="1"/>
  <c r="D57" i="4"/>
  <c r="E57" i="4" s="1"/>
  <c r="E54" i="4" s="1"/>
  <c r="P54" i="4"/>
  <c r="O54" i="4"/>
  <c r="N54" i="4"/>
  <c r="M54" i="4"/>
  <c r="L54" i="4"/>
  <c r="K54" i="4"/>
  <c r="J54" i="4"/>
  <c r="I54" i="4"/>
  <c r="F54" i="4"/>
  <c r="H48" i="4"/>
  <c r="G47" i="4"/>
  <c r="G43" i="4" s="1"/>
  <c r="H44" i="4"/>
  <c r="P19" i="4"/>
  <c r="E39" i="4"/>
  <c r="Q39" i="4" s="1"/>
  <c r="R39" i="4" s="1"/>
  <c r="S39" i="4" s="1"/>
  <c r="Q38" i="4"/>
  <c r="R38" i="4" s="1"/>
  <c r="S38" i="4" s="1"/>
  <c r="E36" i="4"/>
  <c r="Q36" i="4" s="1"/>
  <c r="R36" i="4" s="1"/>
  <c r="S36" i="4" s="1"/>
  <c r="E35" i="4"/>
  <c r="Q35" i="4" s="1"/>
  <c r="R35" i="4" s="1"/>
  <c r="S35" i="4" s="1"/>
  <c r="E34" i="4"/>
  <c r="Q34" i="4" s="1"/>
  <c r="R34" i="4" s="1"/>
  <c r="S34" i="4" s="1"/>
  <c r="E32" i="4"/>
  <c r="Q32" i="4" s="1"/>
  <c r="R32" i="4" s="1"/>
  <c r="S32" i="4" s="1"/>
  <c r="E31" i="4"/>
  <c r="Q31" i="4" s="1"/>
  <c r="R31" i="4" s="1"/>
  <c r="S31" i="4" s="1"/>
  <c r="E30" i="4"/>
  <c r="Q30" i="4" s="1"/>
  <c r="R30" i="4" s="1"/>
  <c r="S30" i="4" s="1"/>
  <c r="E29" i="4"/>
  <c r="Q29" i="4" s="1"/>
  <c r="R29" i="4" s="1"/>
  <c r="S29" i="4" s="1"/>
  <c r="E28" i="4"/>
  <c r="Q28" i="4" s="1"/>
  <c r="R28" i="4" s="1"/>
  <c r="S28" i="4" s="1"/>
  <c r="E25" i="4"/>
  <c r="Q25" i="4" s="1"/>
  <c r="R25" i="4" s="1"/>
  <c r="S25" i="4" s="1"/>
  <c r="D24" i="4"/>
  <c r="E24" i="4" s="1"/>
  <c r="Q24" i="4" s="1"/>
  <c r="R24" i="4" s="1"/>
  <c r="S24" i="4" s="1"/>
  <c r="E23" i="4"/>
  <c r="Q23" i="4" s="1"/>
  <c r="R23" i="4" s="1"/>
  <c r="S23" i="4" s="1"/>
  <c r="Q22" i="4"/>
  <c r="E21" i="4"/>
  <c r="Q21" i="4" s="1"/>
  <c r="R21" i="4" s="1"/>
  <c r="S21" i="4" s="1"/>
  <c r="M19" i="4"/>
  <c r="I19" i="4"/>
  <c r="F19" i="4"/>
  <c r="Q18" i="4"/>
  <c r="R18" i="4" s="1"/>
  <c r="S18" i="4" s="1"/>
  <c r="P16" i="4"/>
  <c r="O16" i="4"/>
  <c r="N16" i="4"/>
  <c r="M16" i="4"/>
  <c r="L16" i="4"/>
  <c r="J16" i="4"/>
  <c r="I16" i="4"/>
  <c r="I7" i="4" s="1"/>
  <c r="H16" i="4"/>
  <c r="G16" i="4"/>
  <c r="F16" i="4"/>
  <c r="E16" i="4"/>
  <c r="H12" i="4"/>
  <c r="H7" i="4" s="1"/>
  <c r="G12" i="4"/>
  <c r="F12" i="4"/>
  <c r="E12" i="4"/>
  <c r="G11" i="4"/>
  <c r="G7" i="4" s="1"/>
  <c r="F11" i="4"/>
  <c r="F7" i="4" s="1"/>
  <c r="E11" i="4"/>
  <c r="E10" i="4"/>
  <c r="J9" i="4"/>
  <c r="P8" i="4"/>
  <c r="O8" i="4"/>
  <c r="N8" i="4"/>
  <c r="M8" i="4"/>
  <c r="S6" i="4"/>
  <c r="E6" i="4"/>
  <c r="E3" i="4" s="1"/>
  <c r="S5" i="4"/>
  <c r="S4" i="4"/>
  <c r="S3" i="4"/>
  <c r="P3" i="4"/>
  <c r="O3" i="4"/>
  <c r="N3" i="4"/>
  <c r="M3" i="4"/>
  <c r="L3" i="4"/>
  <c r="K3" i="4"/>
  <c r="J3" i="4"/>
  <c r="I3" i="4"/>
  <c r="H3" i="4"/>
  <c r="G3" i="4"/>
  <c r="F3" i="4"/>
  <c r="L7" i="4" l="1"/>
  <c r="H43" i="4"/>
  <c r="H19" i="4" s="1"/>
  <c r="R22" i="4"/>
  <c r="M63" i="4"/>
  <c r="M64" i="4" s="1"/>
  <c r="M65" i="4" s="1"/>
  <c r="Q33" i="4"/>
  <c r="Q20" i="4" s="1"/>
  <c r="E20" i="4"/>
  <c r="Q10" i="4"/>
  <c r="R10" i="4" s="1"/>
  <c r="S10" i="4" s="1"/>
  <c r="E7" i="4"/>
  <c r="G19" i="4"/>
  <c r="G63" i="4" s="1"/>
  <c r="G64" i="4" s="1"/>
  <c r="G65" i="4" s="1"/>
  <c r="J19" i="4"/>
  <c r="O19" i="4"/>
  <c r="K19" i="4"/>
  <c r="K63" i="4" s="1"/>
  <c r="K64" i="4" s="1"/>
  <c r="K65" i="4" s="1"/>
  <c r="L16" i="3"/>
  <c r="M16" i="3" s="1"/>
  <c r="L32" i="3"/>
  <c r="M32" i="3" s="1"/>
  <c r="J7" i="4"/>
  <c r="F63" i="4"/>
  <c r="F64" i="4" s="1"/>
  <c r="F65" i="4" s="1"/>
  <c r="N7" i="4"/>
  <c r="V30" i="3"/>
  <c r="W30" i="3" s="1"/>
  <c r="W31" i="3" s="1"/>
  <c r="K22" i="1"/>
  <c r="L16" i="1"/>
  <c r="L19" i="4"/>
  <c r="O7" i="4"/>
  <c r="P7" i="4"/>
  <c r="P63" i="4" s="1"/>
  <c r="P64" i="4" s="1"/>
  <c r="P65" i="4" s="1"/>
  <c r="I63" i="4"/>
  <c r="I64" i="4" s="1"/>
  <c r="I65" i="4" s="1"/>
  <c r="Q12" i="4"/>
  <c r="R12" i="4" s="1"/>
  <c r="S12" i="4" s="1"/>
  <c r="Q8" i="4"/>
  <c r="R8" i="4" s="1"/>
  <c r="S8" i="4" s="1"/>
  <c r="Q3" i="4"/>
  <c r="Q16" i="4"/>
  <c r="R16" i="4" s="1"/>
  <c r="S16" i="4" s="1"/>
  <c r="N19" i="4"/>
  <c r="H54" i="4"/>
  <c r="Q11" i="4"/>
  <c r="R11" i="4" s="1"/>
  <c r="S11" i="4" s="1"/>
  <c r="Q9" i="4"/>
  <c r="R9" i="4" s="1"/>
  <c r="S9" i="4" s="1"/>
  <c r="Q62" i="4"/>
  <c r="R62" i="4" s="1"/>
  <c r="S62" i="4" s="1"/>
  <c r="J231" i="3"/>
  <c r="V21" i="3"/>
  <c r="L29" i="3"/>
  <c r="H231" i="3"/>
  <c r="G231" i="3"/>
  <c r="K6" i="3"/>
  <c r="M6" i="3" s="1"/>
  <c r="S22" i="4" l="1"/>
  <c r="N63" i="4"/>
  <c r="N64" i="4" s="1"/>
  <c r="N65" i="4" s="1"/>
  <c r="O63" i="4"/>
  <c r="O64" i="4" s="1"/>
  <c r="O65" i="4" s="1"/>
  <c r="J63" i="4"/>
  <c r="J64" i="4" s="1"/>
  <c r="J65" i="4" s="1"/>
  <c r="R33" i="4"/>
  <c r="R20" i="4" s="1"/>
  <c r="L231" i="3"/>
  <c r="M29" i="3"/>
  <c r="L63" i="4"/>
  <c r="L64" i="4" s="1"/>
  <c r="L65" i="4" s="1"/>
  <c r="K231" i="3"/>
  <c r="Q7" i="4"/>
  <c r="R7" i="4" s="1"/>
  <c r="S7" i="4" s="1"/>
  <c r="H63" i="4"/>
  <c r="H64" i="4" s="1"/>
  <c r="H65" i="4" s="1"/>
  <c r="L6" i="1"/>
  <c r="L22" i="1" s="1"/>
  <c r="S33" i="4" l="1"/>
  <c r="S20" i="4" s="1"/>
  <c r="M231" i="3"/>
  <c r="Q260" i="3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H234" i="3" l="1"/>
  <c r="H235" i="3"/>
  <c r="I235" i="3" s="1"/>
  <c r="K24" i="1"/>
  <c r="I234" i="3" l="1"/>
  <c r="I236" i="3" s="1"/>
  <c r="H236" i="3"/>
  <c r="M232" i="3" l="1"/>
  <c r="Q58" i="4"/>
  <c r="R58" i="4" s="1"/>
  <c r="S58" i="4" s="1"/>
  <c r="Q61" i="4"/>
  <c r="R61" i="4" s="1"/>
  <c r="S61" i="4" s="1"/>
  <c r="Q54" i="4"/>
  <c r="R54" i="4" s="1"/>
  <c r="S54" i="4" s="1"/>
  <c r="Q55" i="4"/>
  <c r="R55" i="4" s="1"/>
  <c r="S55" i="4" s="1"/>
  <c r="Q49" i="4"/>
  <c r="R49" i="4" s="1"/>
  <c r="S49" i="4" s="1"/>
  <c r="Q50" i="4"/>
  <c r="R50" i="4" s="1"/>
  <c r="S50" i="4" s="1"/>
  <c r="Q51" i="4"/>
  <c r="R51" i="4" s="1"/>
  <c r="S51" i="4" s="1"/>
  <c r="Q48" i="4"/>
  <c r="R48" i="4" s="1"/>
  <c r="S48" i="4" s="1"/>
  <c r="Q47" i="4"/>
  <c r="R47" i="4" s="1"/>
  <c r="S47" i="4" s="1"/>
  <c r="Q45" i="4"/>
  <c r="R45" i="4" s="1"/>
  <c r="S45" i="4" s="1"/>
  <c r="Q57" i="4"/>
  <c r="R57" i="4" s="1"/>
  <c r="S57" i="4" s="1"/>
  <c r="Q60" i="4"/>
  <c r="R60" i="4" s="1"/>
  <c r="S60" i="4" s="1"/>
  <c r="Q56" i="4"/>
  <c r="R56" i="4" s="1"/>
  <c r="S56" i="4" s="1"/>
  <c r="Q53" i="4"/>
  <c r="R53" i="4" s="1"/>
  <c r="S53" i="4" s="1"/>
  <c r="Q44" i="4"/>
  <c r="Q59" i="4"/>
  <c r="R59" i="4" s="1"/>
  <c r="S59" i="4" s="1"/>
  <c r="Q46" i="4"/>
  <c r="R46" i="4" s="1"/>
  <c r="S46" i="4" s="1"/>
  <c r="E43" i="4"/>
  <c r="E19" i="4" s="1"/>
  <c r="E63" i="4" s="1"/>
  <c r="E64" i="4" s="1"/>
  <c r="R44" i="4" l="1"/>
  <c r="Q43" i="4"/>
  <c r="Q19" i="4" s="1"/>
  <c r="Q63" i="4" s="1"/>
  <c r="R63" i="4" s="1"/>
  <c r="Q64" i="4"/>
  <c r="E65" i="4"/>
  <c r="Q65" i="4" s="1"/>
  <c r="S44" i="4" l="1"/>
  <c r="S43" i="4" s="1"/>
  <c r="S19" i="4" s="1"/>
  <c r="S63" i="4" s="1"/>
  <c r="R43" i="4"/>
  <c r="R19" i="4" s="1"/>
  <c r="N176" i="3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9" i="3" s="1"/>
  <c r="N190" i="3" l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188" i="3"/>
</calcChain>
</file>

<file path=xl/comments1.xml><?xml version="1.0" encoding="utf-8"?>
<comments xmlns="http://schemas.openxmlformats.org/spreadsheetml/2006/main">
  <authors>
    <author>Windows User</author>
    <author>TAPAN-PC</author>
    <author>Author</author>
  </authors>
  <commentList>
    <comment ref="K16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Half year Bonus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TAPAN-PC:</t>
        </r>
        <r>
          <rPr>
            <sz val="9"/>
            <color indexed="81"/>
            <rFont val="Tahoma"/>
            <family val="2"/>
          </rPr>
          <t xml:space="preserve">
Hosting</t>
        </r>
      </text>
    </comment>
    <comment ref="D46" authorId="1" shapeId="0">
      <text>
        <r>
          <rPr>
            <b/>
            <sz val="9"/>
            <color indexed="81"/>
            <rFont val="Tahoma"/>
            <family val="2"/>
          </rPr>
          <t>TAPAN-PC:</t>
        </r>
        <r>
          <rPr>
            <sz val="9"/>
            <color indexed="81"/>
            <rFont val="Tahoma"/>
            <family val="2"/>
          </rPr>
          <t xml:space="preserve">
Domain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TAPAN-PC:</t>
        </r>
        <r>
          <rPr>
            <sz val="9"/>
            <color indexed="81"/>
            <rFont val="Tahoma"/>
            <family val="2"/>
          </rPr>
          <t xml:space="preserve">
Hosting</t>
        </r>
      </text>
    </comment>
    <comment ref="I59" authorId="2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Seems somebody else paid this</t>
        </r>
      </text>
    </comment>
    <comment ref="K6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Pooja cost 9047.2
Tea 3860</t>
        </r>
      </text>
    </comment>
  </commentList>
</comments>
</file>

<file path=xl/sharedStrings.xml><?xml version="1.0" encoding="utf-8"?>
<sst xmlns="http://schemas.openxmlformats.org/spreadsheetml/2006/main" count="2618" uniqueCount="418">
  <si>
    <t>Legends</t>
  </si>
  <si>
    <t>Direct Transfer to Vendor</t>
  </si>
  <si>
    <t>Transfer to Tapan</t>
  </si>
  <si>
    <t>Pending payment cleared to tapan</t>
  </si>
  <si>
    <t>India Rupee (INR)</t>
  </si>
  <si>
    <t>For</t>
  </si>
  <si>
    <t>Sr. No.</t>
  </si>
  <si>
    <t>Company</t>
  </si>
  <si>
    <t>Expense Head</t>
  </si>
  <si>
    <t>Date</t>
  </si>
  <si>
    <t>USD</t>
  </si>
  <si>
    <t>Euro</t>
  </si>
  <si>
    <t>Con. Rate</t>
  </si>
  <si>
    <t>Transfer Crg
(Euro)</t>
  </si>
  <si>
    <t>Credit</t>
  </si>
  <si>
    <t>Debit</t>
  </si>
  <si>
    <t>Difference</t>
  </si>
  <si>
    <t>Running 
Balance</t>
  </si>
  <si>
    <t>Estimate</t>
  </si>
  <si>
    <t>Comments</t>
  </si>
  <si>
    <t>Category</t>
  </si>
  <si>
    <t>Action Comments</t>
  </si>
  <si>
    <t>CBPL</t>
  </si>
  <si>
    <t>CBIB</t>
  </si>
  <si>
    <t>CBIB Company Registration</t>
  </si>
  <si>
    <t>Paid By Amal</t>
  </si>
  <si>
    <t>Office</t>
  </si>
  <si>
    <t>Amal</t>
  </si>
  <si>
    <t>CBIB Stamp Paper &amp; Legal Doc. Work</t>
  </si>
  <si>
    <t>Paid By Tapan</t>
  </si>
  <si>
    <t>Stationery</t>
  </si>
  <si>
    <t>CBIB Letter Head &amp; Visiting Card</t>
  </si>
  <si>
    <t>Expenses</t>
  </si>
  <si>
    <t>CBIB Company Formation</t>
  </si>
  <si>
    <t>ADSL</t>
  </si>
  <si>
    <t>ADSL Company Registration</t>
  </si>
  <si>
    <t>Office Agent</t>
  </si>
  <si>
    <t>ADSL Office Agent Fees</t>
  </si>
  <si>
    <t>Infrastructure</t>
  </si>
  <si>
    <t>Internet</t>
  </si>
  <si>
    <t>Toll Tax Vashi</t>
  </si>
  <si>
    <t>Others</t>
  </si>
  <si>
    <t>Visiting Card &amp; Letter head</t>
  </si>
  <si>
    <t>ADSL Hatway Cable (3 Month)</t>
  </si>
  <si>
    <t>Communication</t>
  </si>
  <si>
    <t>Chairs</t>
  </si>
  <si>
    <t>Inward Remittance to Personal A/c</t>
  </si>
  <si>
    <t>For Opening CA</t>
  </si>
  <si>
    <t>Loan</t>
  </si>
  <si>
    <t>Pooja</t>
  </si>
  <si>
    <t>Parking BKC - SEBI Meeting</t>
  </si>
  <si>
    <t>Office Cleaner</t>
  </si>
  <si>
    <t>Food Bill Orchid</t>
  </si>
  <si>
    <t>Office Agreement</t>
  </si>
  <si>
    <t>ADSL Office Space Deposit</t>
  </si>
  <si>
    <t>Mobile Bill</t>
  </si>
  <si>
    <t>Cash from Amal</t>
  </si>
  <si>
    <t>Cash By Amal</t>
  </si>
  <si>
    <t>Misc Exp</t>
  </si>
  <si>
    <t>ADSL Letter Head &amp; Visiting Card</t>
  </si>
  <si>
    <t>Domain Purchase</t>
  </si>
  <si>
    <t>ADSL Chairs</t>
  </si>
  <si>
    <t>Total</t>
  </si>
  <si>
    <t>Food Bill Vashi Subway</t>
  </si>
  <si>
    <t>Pending</t>
  </si>
  <si>
    <t>ADSL Poojari</t>
  </si>
  <si>
    <t>ADSL Sweets &amp; Flowers</t>
  </si>
  <si>
    <t>Security for Pooja</t>
  </si>
  <si>
    <t>Cleaner Material</t>
  </si>
  <si>
    <t>Amal's mobile bill</t>
  </si>
  <si>
    <t>ADSL Office Computers - Sharma Computers</t>
  </si>
  <si>
    <t>Hardware</t>
  </si>
  <si>
    <t>Exp</t>
  </si>
  <si>
    <t>Rent Agreement</t>
  </si>
  <si>
    <t>Actual</t>
  </si>
  <si>
    <t>Miscellaneous Expense - Amey</t>
  </si>
  <si>
    <t>Diff</t>
  </si>
  <si>
    <t>ADSL Office Space Rent (1 year)</t>
  </si>
  <si>
    <t>Godaddy Domain Purchase</t>
  </si>
  <si>
    <t>Software</t>
  </si>
  <si>
    <t>Return Cheque 11894 Insufficient Balance</t>
  </si>
  <si>
    <t>Bank Transaction</t>
  </si>
  <si>
    <t>Bank</t>
  </si>
  <si>
    <t>To be refunded</t>
  </si>
  <si>
    <t>Loan return to Tapan Das</t>
  </si>
  <si>
    <t>Maid Servent Payment - April 2017</t>
  </si>
  <si>
    <t>Resources</t>
  </si>
  <si>
    <t>Sohani Majumdar - Salary - April 2017</t>
  </si>
  <si>
    <t>Ansh Malvenkar - Salary - April 2017</t>
  </si>
  <si>
    <t>Manish Abhichandani - Salary - April 2017</t>
  </si>
  <si>
    <t>Inward Remittance to Company A/c</t>
  </si>
  <si>
    <t>Inward Remittance Charges</t>
  </si>
  <si>
    <t>Sanchita Ochani - Salary - April 2017</t>
  </si>
  <si>
    <t>Amey Deshpande - Salary - April 2017</t>
  </si>
  <si>
    <t>Vistaprint - Mugs</t>
  </si>
  <si>
    <t>Flipkart - Board, Flask, Sliper, Marker Pen, Tray</t>
  </si>
  <si>
    <t>Debit Card Charges</t>
  </si>
  <si>
    <t>Banking charges - SMS</t>
  </si>
  <si>
    <t>Attendance Register</t>
  </si>
  <si>
    <t>Transfer to manitain 10000 balance in CBIB A/c</t>
  </si>
  <si>
    <t>Book Purchase  - Ram Kulkarni - Amazon</t>
  </si>
  <si>
    <t>Loan Repayment to Tapan Das</t>
  </si>
  <si>
    <t>Reliance Electricity Bill Payment</t>
  </si>
  <si>
    <t>Electricity</t>
  </si>
  <si>
    <t>Loan Repayment to Amal Sharma (Suresh)</t>
  </si>
  <si>
    <t>Sanchita Ochani - Salary - May 2017</t>
  </si>
  <si>
    <t>Ansh Malvenkar - Salary - May 2017</t>
  </si>
  <si>
    <t>Manish Abhichandani - May - April 2017</t>
  </si>
  <si>
    <t>Sohani Majumdar - Salary - May 2017</t>
  </si>
  <si>
    <t>Maid Servent Payment - May 2017</t>
  </si>
  <si>
    <t>MTNL Deposit</t>
  </si>
  <si>
    <t>Tea</t>
  </si>
  <si>
    <t>Refreshments</t>
  </si>
  <si>
    <t>Cash Withdrawal - USB &amp; BT Speaker</t>
  </si>
  <si>
    <t>Autotel EPBAX</t>
  </si>
  <si>
    <t>Sharada stationary &amp; Xerox</t>
  </si>
  <si>
    <t>Debit Card Charge</t>
  </si>
  <si>
    <t>Mobile Alert Charge</t>
  </si>
  <si>
    <t>Penalty to maintain AMB</t>
  </si>
  <si>
    <t>Bootstrap Software Purchase</t>
  </si>
  <si>
    <t>Booststrap Software Service Tax</t>
  </si>
  <si>
    <t>Loan Repayment to Tapan Das (CBIPL Transfer)</t>
  </si>
  <si>
    <t>Loan Received from Tapan Das (ADSL Transfer)</t>
  </si>
  <si>
    <t>Sohani Majumdar - Salary - June 2017</t>
  </si>
  <si>
    <t>Sanchita Ochani - Salary - June 2017</t>
  </si>
  <si>
    <t>Ansh Malvenkar - Salary - June 2017</t>
  </si>
  <si>
    <t>Autotel EPBAX - Purchase of Tel Instrument</t>
  </si>
  <si>
    <t>Maid Servent Payment - June 2017</t>
  </si>
  <si>
    <t>Carpenter Expenses for Slider &amp; Locks</t>
  </si>
  <si>
    <t>Windows 10 OS Software (2 copies)</t>
  </si>
  <si>
    <t>Office Name Plate - Sharda</t>
  </si>
  <si>
    <t>Windows 10 OS Software (3 copies)</t>
  </si>
  <si>
    <t>MTNL Broadband &amp; Phone Bill - Jun-Jul 2017</t>
  </si>
  <si>
    <t>Electrician Expenses for concealing network cables</t>
  </si>
  <si>
    <t>Wix Domain Purchase - TKRS</t>
  </si>
  <si>
    <t>Wix Domain Purchase - CBIB</t>
  </si>
  <si>
    <t>Office Files &amp; Seperator, Calculator - Sharda</t>
  </si>
  <si>
    <t>Sohani Majumdar - Salary - July 2017</t>
  </si>
  <si>
    <t>Ansh Malvenkar - Salary - July 2017</t>
  </si>
  <si>
    <t>Maid Servent Payment - July 2017</t>
  </si>
  <si>
    <t>Aamir Kadri - Advance Salary - August 2017</t>
  </si>
  <si>
    <t>Agent Fees for Recruitment  - Focus Management</t>
  </si>
  <si>
    <t>Cash Withdrawal - Ganesh Pooja Donation &amp; Key Repair</t>
  </si>
  <si>
    <t>IIN/I-Debit/Hardcastl/20170818122852</t>
  </si>
  <si>
    <t>IIN/I-Debit/Hardcastl/20170818123303</t>
  </si>
  <si>
    <t xml:space="preserve"> MIN/HARDCASTLE /20170818124424/0</t>
  </si>
  <si>
    <t>MTNL Broadband &amp; Phone Bill - Jul-Aug 2017</t>
  </si>
  <si>
    <t>Wix Domain Purchase - TAVP</t>
  </si>
  <si>
    <t>Aamir Kadri - Pending Salary - August 2017</t>
  </si>
  <si>
    <t>Ansh Malvenkar - Salary - August 2017</t>
  </si>
  <si>
    <t>Sohani Majumdar - Salary - August 2017</t>
  </si>
  <si>
    <t>Maid Servent Payment - August 2017</t>
  </si>
  <si>
    <t>Carpenter Expenses for Receptionist cum Admin Table</t>
  </si>
  <si>
    <t>Wix Domain Purchase - ID</t>
  </si>
  <si>
    <t>Wix Domain Purchase - PREICO-TWEX</t>
  </si>
  <si>
    <t>Refund from IIN/I-Debit/Hardcastl/20170818122852</t>
  </si>
  <si>
    <t>Refund by Vendor</t>
  </si>
  <si>
    <t>Refund from IIN/I-Debit/Hardcastl/20170818123303</t>
  </si>
  <si>
    <t>Office File - Sharda</t>
  </si>
  <si>
    <t>Wondershare Data Recovery Tool</t>
  </si>
  <si>
    <t>Cash expenses as on 7th June 2017</t>
  </si>
  <si>
    <t>Heads</t>
  </si>
  <si>
    <t>Miscellaneous</t>
  </si>
  <si>
    <t>Amount in Bank</t>
  </si>
  <si>
    <t>Files</t>
  </si>
  <si>
    <t>23 Rs deducted by SBI</t>
  </si>
  <si>
    <t>As per Calc</t>
  </si>
  <si>
    <t>Index Company Name Change (Ground Floor)</t>
  </si>
  <si>
    <t>Pendrive 64 Gb for Linux OS</t>
  </si>
  <si>
    <t>Glue Stick</t>
  </si>
  <si>
    <t>Carpenter Material Cost 2nd Sep 2107</t>
  </si>
  <si>
    <t>Infact Corerra - Dinner meeting</t>
  </si>
  <si>
    <t>Material</t>
  </si>
  <si>
    <t>Qty</t>
  </si>
  <si>
    <t>Cost</t>
  </si>
  <si>
    <t>Amount</t>
  </si>
  <si>
    <t>7X1X4 Ply</t>
  </si>
  <si>
    <t>Cash expenses as on 14th April 2017</t>
  </si>
  <si>
    <t>Fastner</t>
  </si>
  <si>
    <t>Sunmaica</t>
  </si>
  <si>
    <t>Keys</t>
  </si>
  <si>
    <t>Ivory Tape</t>
  </si>
  <si>
    <t>Water Filter</t>
  </si>
  <si>
    <t>Fevicole</t>
  </si>
  <si>
    <t>Cleaner</t>
  </si>
  <si>
    <t>Screw</t>
  </si>
  <si>
    <t>Carriage</t>
  </si>
  <si>
    <t>Dettol hand wash</t>
  </si>
  <si>
    <t>Moulding</t>
  </si>
  <si>
    <t>Cash expenses as on 13th August 2017</t>
  </si>
  <si>
    <t>Sub-Total</t>
  </si>
  <si>
    <t>Bearing</t>
  </si>
  <si>
    <t>Lock</t>
  </si>
  <si>
    <t>Ganesh Pooja Donation</t>
  </si>
  <si>
    <t>Stopper</t>
  </si>
  <si>
    <t>Cake for Sohini Birthday</t>
  </si>
  <si>
    <t>Handle</t>
  </si>
  <si>
    <t>Drill bead</t>
  </si>
  <si>
    <t>Cash expenses as on 2nd Sep 2017</t>
  </si>
  <si>
    <t>Screw Voicer</t>
  </si>
  <si>
    <t>Channel</t>
  </si>
  <si>
    <t>Carpenter Material</t>
  </si>
  <si>
    <t>23 Rs deducted by Axis</t>
  </si>
  <si>
    <t>Carpenter Labor</t>
  </si>
  <si>
    <t>Labour</t>
  </si>
  <si>
    <t>Space Cost</t>
  </si>
  <si>
    <t>Rent</t>
  </si>
  <si>
    <t>Deposit</t>
  </si>
  <si>
    <t>Commission</t>
  </si>
  <si>
    <t>Resource Cost</t>
  </si>
  <si>
    <t>Receptionist</t>
  </si>
  <si>
    <t>Web developer</t>
  </si>
  <si>
    <t>Marketing Manager</t>
  </si>
  <si>
    <t>Attorney</t>
  </si>
  <si>
    <t>Maid Servent</t>
  </si>
  <si>
    <t>Agent Fees for Resources</t>
  </si>
  <si>
    <t>Material Cost</t>
  </si>
  <si>
    <t>Laptop - Marketing</t>
  </si>
  <si>
    <t>Machines - Data Analyst</t>
  </si>
  <si>
    <t>Machines - Programmer</t>
  </si>
  <si>
    <t>Server</t>
  </si>
  <si>
    <t>Webcam</t>
  </si>
  <si>
    <t>Quickheal</t>
  </si>
  <si>
    <t>Switch</t>
  </si>
  <si>
    <t>UPS</t>
  </si>
  <si>
    <t>Printer</t>
  </si>
  <si>
    <t>NAS - WD Cloud</t>
  </si>
  <si>
    <t>CCTV Camera</t>
  </si>
  <si>
    <t>1 TB HDD SATA for DVR</t>
  </si>
  <si>
    <t>Cisco Router RV042</t>
  </si>
  <si>
    <t>Headphones</t>
  </si>
  <si>
    <t>Spike Guard</t>
  </si>
  <si>
    <t>24" Monitor for CCTV</t>
  </si>
  <si>
    <t>Mouse Pad</t>
  </si>
  <si>
    <t>Windows 10 OS</t>
  </si>
  <si>
    <t>Domain Purchase - GoDaddy</t>
  </si>
  <si>
    <t>Domain Purchase - Wix</t>
  </si>
  <si>
    <t>Bootstrap Software</t>
  </si>
  <si>
    <t>Wix Domain Purchase</t>
  </si>
  <si>
    <t>Reference Book in Kindle</t>
  </si>
  <si>
    <t>Data Recovery Tool</t>
  </si>
  <si>
    <t>Company Registration</t>
  </si>
  <si>
    <t>Office Furniture - Chairs, Fixtures</t>
  </si>
  <si>
    <t>Stationary/ Miscellaneous</t>
  </si>
  <si>
    <t>Banking Charges</t>
  </si>
  <si>
    <t>Refreshment, Tea, Biscuits</t>
  </si>
  <si>
    <t>Planned</t>
  </si>
  <si>
    <t>Expense Heads</t>
  </si>
  <si>
    <t>Quantity</t>
  </si>
  <si>
    <t>CTC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</si>
  <si>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</si>
  <si>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</si>
  <si>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</si>
  <si>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</si>
  <si>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</si>
  <si>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</si>
  <si>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</si>
  <si>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</si>
  <si>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</si>
  <si>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Jan-17</t>
  </si>
  <si>
    <t>Feb-17</t>
  </si>
  <si>
    <t>Mar-17</t>
  </si>
  <si>
    <t>Total Cost INR</t>
  </si>
  <si>
    <t>Total Cost USD</t>
  </si>
  <si>
    <t>Total Cost Euro</t>
  </si>
  <si>
    <t>INR</t>
  </si>
  <si>
    <t>MTNL Broadband &amp; Phone Bill - Aug-Sep 2017</t>
  </si>
  <si>
    <t>Pending payment to Sharma Computers</t>
  </si>
  <si>
    <t>Book Purchase  - Bitcoin - Amazon</t>
  </si>
  <si>
    <t>Book Purchase  - Etherium - Amazon</t>
  </si>
  <si>
    <t>Return Cheque 11894 Insufficient Balance Refund</t>
  </si>
  <si>
    <t>1st Refund</t>
  </si>
  <si>
    <t>Aamir Kadri - Salary - September 2017</t>
  </si>
  <si>
    <t>Sohini Majumder - Salary - September 2017</t>
  </si>
  <si>
    <t>Tuba Sheikh - Salary - September 2017</t>
  </si>
  <si>
    <t>Abdul Sahibole - Salary - September 2017</t>
  </si>
  <si>
    <t>Ansh Malvenkar - Salary - September 2017</t>
  </si>
  <si>
    <t>Maid Servent Payment - September 2017</t>
  </si>
  <si>
    <t>Mukta Xerox</t>
  </si>
  <si>
    <t>Cash Withdrawal</t>
  </si>
  <si>
    <t>MTNL Broadband &amp; Phone Bill - Sep-Oct 2017</t>
  </si>
  <si>
    <t>Purchase Of KTS NEC System</t>
  </si>
  <si>
    <t>Cash Witdrawal - Pooja</t>
  </si>
  <si>
    <t>MIN/HARDCASTLE /20171030143029/0</t>
  </si>
  <si>
    <t>MIN/HARDCASTLE /20171030144348/0</t>
  </si>
  <si>
    <t>Refund</t>
  </si>
  <si>
    <t>Cash expenses as on 30th Oct 2017</t>
  </si>
  <si>
    <t>Pujari</t>
  </si>
  <si>
    <t>Sweets</t>
  </si>
  <si>
    <t>Fruits</t>
  </si>
  <si>
    <t>Diwali Bonus for Security</t>
  </si>
  <si>
    <t>ML</t>
  </si>
  <si>
    <t>Blade Cutter</t>
  </si>
  <si>
    <t>Abro</t>
  </si>
  <si>
    <t>Hi Key</t>
  </si>
  <si>
    <t>Khada</t>
  </si>
  <si>
    <t>Adjustment from previous Bill</t>
  </si>
  <si>
    <t>Diwali Bonus for Tea Distributor</t>
  </si>
  <si>
    <t>Adjustment from Tapan to Bank</t>
  </si>
  <si>
    <t>Loan Repayment</t>
  </si>
  <si>
    <t>Carpenter Material Cost 2nd Sep 2017</t>
  </si>
  <si>
    <t>Tuba Sheikh - Salary - October 2017</t>
  </si>
  <si>
    <t>Aamir Kadri - Salary - October 2017</t>
  </si>
  <si>
    <t>Ansh Malvenkar - Salary - October 2017</t>
  </si>
  <si>
    <t>Maid Servent Payment - October 2017 + bonus 6M</t>
  </si>
  <si>
    <t>Sohini Majumder - Salary - October 2017</t>
  </si>
  <si>
    <t>Sweety Dixit - Salary - October 2017</t>
  </si>
  <si>
    <t>iOS Developer</t>
  </si>
  <si>
    <t>Android Developer</t>
  </si>
  <si>
    <t>3 D artist &amp; Creative Designer</t>
  </si>
  <si>
    <t>Servicing</t>
  </si>
  <si>
    <t>Row Labels</t>
  </si>
  <si>
    <t>Grand Total</t>
  </si>
  <si>
    <t>Sum of Debit</t>
  </si>
  <si>
    <t>Cash Withdrawal for Computer Services</t>
  </si>
  <si>
    <t>Inward Remittance from Personal Account</t>
  </si>
  <si>
    <t>Inward Remittancefrom Personal A/c</t>
  </si>
  <si>
    <t>Inward Remittance from Personal A/c</t>
  </si>
  <si>
    <t>Goggle Adwords</t>
  </si>
  <si>
    <t>Wix Domain purchase - twex.eu</t>
  </si>
  <si>
    <t>Sum of Credit</t>
  </si>
  <si>
    <t>Cash Withdrawal for Carpenter Labour and Lock Material</t>
  </si>
  <si>
    <t>Cash expenses as on 8th Nov 2017</t>
  </si>
  <si>
    <t>New door lock</t>
  </si>
  <si>
    <t>Wire</t>
  </si>
  <si>
    <t>Swtich</t>
  </si>
  <si>
    <t>Socket</t>
  </si>
  <si>
    <t>Gbox</t>
  </si>
  <si>
    <t>Board</t>
  </si>
  <si>
    <t>Tester</t>
  </si>
  <si>
    <t>Electric 2 point socket for water dispenser and tea maker</t>
  </si>
  <si>
    <t>Labor Carpenter</t>
  </si>
  <si>
    <t>Labour Electrical</t>
  </si>
  <si>
    <t>Cleaning Material</t>
  </si>
  <si>
    <t>Bills</t>
  </si>
  <si>
    <t>Yes</t>
  </si>
  <si>
    <t>Bill No.</t>
  </si>
  <si>
    <t>No</t>
  </si>
  <si>
    <t>NA</t>
  </si>
  <si>
    <t>Godaddy Hosting Purchase</t>
  </si>
  <si>
    <t>Purchase of water dispenser</t>
  </si>
  <si>
    <t>Cash</t>
  </si>
  <si>
    <t>yes</t>
  </si>
  <si>
    <t>Online</t>
  </si>
  <si>
    <t>Purchase of Quick Heal Total Security</t>
  </si>
  <si>
    <t>Fingerprint Scanner</t>
  </si>
  <si>
    <t>Fingerprint Scanner for Attendance</t>
  </si>
  <si>
    <t>Google Adwords</t>
  </si>
  <si>
    <t>Communication (MTNL)</t>
  </si>
  <si>
    <t>Electricity (RELIANCE)</t>
  </si>
  <si>
    <t>Tea Kettle Amazon</t>
  </si>
  <si>
    <t>Tea, Coffee, Sugar, Milk - Dmart</t>
  </si>
  <si>
    <t>Backup Harddisk - Amazon - 1 TB</t>
  </si>
  <si>
    <t>Cash Withdrawal for Drawing material</t>
  </si>
  <si>
    <t>Cash Withdrawal for Purchase of Quick Heal Total Security</t>
  </si>
  <si>
    <t>Purchase of MacAir Network Connector</t>
  </si>
  <si>
    <t>MacAir Network Adapter</t>
  </si>
  <si>
    <t>8 gb Ram</t>
  </si>
  <si>
    <t>Machine</t>
  </si>
  <si>
    <t>Keyboard Mouse</t>
  </si>
  <si>
    <t>Spike guard</t>
  </si>
  <si>
    <t>Professional Tax deducted at source</t>
  </si>
  <si>
    <t>Professional Tax Payment</t>
  </si>
  <si>
    <t>Tax</t>
  </si>
  <si>
    <t>Aamir Kadri - Salary - November 2017</t>
  </si>
  <si>
    <t>Ansh Malvenkar - Salary - November 2017</t>
  </si>
  <si>
    <t>Maid Servent Payment - November 2017</t>
  </si>
  <si>
    <t>Tuba Sheikh - Salary - November 2017</t>
  </si>
  <si>
    <t>Sweety Dixit - Salary - November 2017</t>
  </si>
  <si>
    <t>Sohini Majumdar - Salary - November 2017</t>
  </si>
  <si>
    <t>Vishakha Zodge - Salary - November 2017</t>
  </si>
  <si>
    <t>B. Pradeep - Salary - November 2017</t>
  </si>
  <si>
    <t>Arti Mane - Salary - November 2017</t>
  </si>
  <si>
    <t>Naina Jude - Salary - November 2017</t>
  </si>
  <si>
    <t>Saman Shaikh - Salary - November 2017</t>
  </si>
  <si>
    <t>DONE</t>
  </si>
  <si>
    <t>Printer Cartridge Refill</t>
  </si>
  <si>
    <t>MIN/HARDCASTLE /20171204200446/0</t>
  </si>
  <si>
    <t>Amazon ( purchase Of Glass)</t>
  </si>
  <si>
    <t>Overcharge</t>
  </si>
  <si>
    <t>Actual Paid</t>
  </si>
  <si>
    <t>Month</t>
  </si>
  <si>
    <t>Total amount</t>
  </si>
  <si>
    <t>Purchase of Ram and Webcam - R.S. Infotech</t>
  </si>
  <si>
    <t>Computer Purchase Advance - R. S. Infotech</t>
  </si>
  <si>
    <t>Computer Purchase Pending - R. S. Infotech</t>
  </si>
  <si>
    <t>Paid By Ansh</t>
  </si>
  <si>
    <t>Aspire Invoice for Aeonian</t>
  </si>
  <si>
    <t>Marketing</t>
  </si>
  <si>
    <t>AfroCoin Publication Magazine</t>
  </si>
  <si>
    <t>Tech Bullion Publication Magazine</t>
  </si>
  <si>
    <t>Cash Withdrawal for Purchase of Office Items</t>
  </si>
  <si>
    <t>Tea Vessel</t>
  </si>
  <si>
    <t>Oil for Diya</t>
  </si>
  <si>
    <t>Broom &amp; Cleaning Cloth</t>
  </si>
  <si>
    <t>Cash Withdrawal for Computer Services R.S.Infotech</t>
  </si>
  <si>
    <t>Computer Purchase Advance R.S.Infotech</t>
  </si>
  <si>
    <t>Computer Purchase Pending R.S.Infotech</t>
  </si>
  <si>
    <t xml:space="preserve"> </t>
  </si>
  <si>
    <t>MTNL Broadband &amp; Phone Bill - Nov-Dec 2017</t>
  </si>
  <si>
    <t>Tolietaries</t>
  </si>
  <si>
    <t>Books from Amazon for Android,.Cryptography</t>
  </si>
  <si>
    <t>Amazon Web Services Registration</t>
  </si>
  <si>
    <t>Paid by Tapan</t>
  </si>
  <si>
    <t>Paid By Sweeti</t>
  </si>
  <si>
    <t>Creative</t>
  </si>
  <si>
    <t>Tea Expenses</t>
  </si>
  <si>
    <t>Fiverr Voiceover</t>
  </si>
  <si>
    <t>Christmas Cake</t>
  </si>
  <si>
    <t>Books from Amazon for iOS, Swift</t>
  </si>
  <si>
    <t>Refund of Excess Power Bill paid</t>
  </si>
  <si>
    <t>Paid By Sky Electronics</t>
  </si>
  <si>
    <t>Purchase of Ram and Webcam  R.S.infotech</t>
  </si>
  <si>
    <t>Christmas Decoration</t>
  </si>
  <si>
    <t>Purchase of Screen adaptor for MacBook from Amazon</t>
  </si>
  <si>
    <t>Client Refreshment Sandwich from Subway</t>
  </si>
  <si>
    <t>Script Writer</t>
  </si>
  <si>
    <t>Fiverr - Creative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</si>
</sst>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14009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4" fillId="0" borderId="5" xfId="0" applyFont="1" applyBorder="1"/>
    <xf numFmtId="0" fontId="2" fillId="6" borderId="4" xfId="0" applyFont="1" applyFill="1" applyBorder="1"/>
    <xf numFmtId="0" fontId="2" fillId="0" borderId="4" xfId="0" applyFont="1" applyFill="1" applyBorder="1"/>
    <xf numFmtId="0" fontId="2" fillId="6" borderId="4" xfId="0" applyFont="1" applyFill="1" applyBorder="1" applyAlignment="1">
      <alignment horizontal="center"/>
    </xf>
    <xf numFmtId="165" fontId="2" fillId="0" borderId="4" xfId="0" applyNumberFormat="1" applyFont="1" applyBorder="1"/>
    <xf numFmtId="43" fontId="2" fillId="0" borderId="4" xfId="1" applyFont="1" applyBorder="1"/>
    <xf numFmtId="43" fontId="4" fillId="0" borderId="5" xfId="1" applyFont="1" applyBorder="1"/>
    <xf numFmtId="164" fontId="2" fillId="0" borderId="4" xfId="1" applyNumberFormat="1" applyFont="1" applyBorder="1"/>
    <xf numFmtId="43" fontId="2" fillId="4" borderId="4" xfId="1" applyFont="1" applyFill="1" applyBorder="1"/>
    <xf numFmtId="43" fontId="4" fillId="0" borderId="4" xfId="1" applyFont="1" applyBorder="1"/>
    <xf numFmtId="0" fontId="2" fillId="7" borderId="4" xfId="0" applyFont="1" applyFill="1" applyBorder="1"/>
    <xf numFmtId="0" fontId="2" fillId="7" borderId="4" xfId="0" applyFont="1" applyFill="1" applyBorder="1" applyAlignment="1">
      <alignment horizontal="center"/>
    </xf>
    <xf numFmtId="43" fontId="2" fillId="3" borderId="4" xfId="1" applyFont="1" applyFill="1" applyBorder="1"/>
    <xf numFmtId="165" fontId="5" fillId="0" borderId="4" xfId="0" applyNumberFormat="1" applyFont="1" applyBorder="1"/>
    <xf numFmtId="43" fontId="5" fillId="0" borderId="4" xfId="1" applyFont="1" applyBorder="1"/>
    <xf numFmtId="43" fontId="5" fillId="2" borderId="4" xfId="1" applyFont="1" applyFill="1" applyBorder="1"/>
    <xf numFmtId="43" fontId="2" fillId="0" borderId="4" xfId="1" applyFont="1" applyFill="1" applyBorder="1"/>
    <xf numFmtId="43" fontId="2" fillId="7" borderId="4" xfId="1" applyFont="1" applyFill="1" applyBorder="1"/>
    <xf numFmtId="164" fontId="5" fillId="0" borderId="4" xfId="1" applyNumberFormat="1" applyFont="1" applyBorder="1"/>
    <xf numFmtId="43" fontId="2" fillId="0" borderId="0" xfId="1" applyFont="1"/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/>
    <xf numFmtId="165" fontId="2" fillId="8" borderId="4" xfId="0" applyNumberFormat="1" applyFont="1" applyFill="1" applyBorder="1"/>
    <xf numFmtId="43" fontId="2" fillId="8" borderId="4" xfId="1" applyFont="1" applyFill="1" applyBorder="1"/>
    <xf numFmtId="164" fontId="2" fillId="8" borderId="4" xfId="1" applyNumberFormat="1" applyFont="1" applyFill="1" applyBorder="1"/>
    <xf numFmtId="43" fontId="4" fillId="8" borderId="4" xfId="1" applyFont="1" applyFill="1" applyBorder="1"/>
    <xf numFmtId="0" fontId="5" fillId="7" borderId="6" xfId="0" applyFont="1" applyFill="1" applyBorder="1"/>
    <xf numFmtId="0" fontId="5" fillId="0" borderId="7" xfId="0" applyFont="1" applyFill="1" applyBorder="1"/>
    <xf numFmtId="43" fontId="2" fillId="0" borderId="8" xfId="1" applyFont="1" applyBorder="1"/>
    <xf numFmtId="0" fontId="5" fillId="7" borderId="7" xfId="0" applyFont="1" applyFill="1" applyBorder="1" applyAlignment="1">
      <alignment horizontal="center"/>
    </xf>
    <xf numFmtId="43" fontId="5" fillId="0" borderId="9" xfId="1" applyFont="1" applyBorder="1"/>
    <xf numFmtId="0" fontId="5" fillId="0" borderId="0" xfId="0" applyFont="1"/>
    <xf numFmtId="0" fontId="2" fillId="7" borderId="7" xfId="0" applyFont="1" applyFill="1" applyBorder="1" applyAlignment="1">
      <alignment horizontal="center"/>
    </xf>
    <xf numFmtId="165" fontId="2" fillId="0" borderId="4" xfId="0" applyNumberFormat="1" applyFont="1" applyFill="1" applyBorder="1"/>
    <xf numFmtId="164" fontId="2" fillId="0" borderId="4" xfId="1" applyNumberFormat="1" applyFont="1" applyFill="1" applyBorder="1"/>
    <xf numFmtId="165" fontId="4" fillId="0" borderId="4" xfId="0" applyNumberFormat="1" applyFont="1" applyBorder="1"/>
    <xf numFmtId="164" fontId="4" fillId="0" borderId="4" xfId="1" applyNumberFormat="1" applyFont="1" applyBorder="1"/>
    <xf numFmtId="43" fontId="4" fillId="0" borderId="8" xfId="1" applyFont="1" applyBorder="1"/>
    <xf numFmtId="0" fontId="4" fillId="0" borderId="8" xfId="0" applyFont="1" applyBorder="1"/>
    <xf numFmtId="43" fontId="4" fillId="0" borderId="10" xfId="1" applyFont="1" applyBorder="1"/>
    <xf numFmtId="0" fontId="4" fillId="0" borderId="4" xfId="0" applyFont="1" applyBorder="1"/>
    <xf numFmtId="0" fontId="4" fillId="7" borderId="7" xfId="0" applyFont="1" applyFill="1" applyBorder="1" applyAlignment="1">
      <alignment horizontal="center"/>
    </xf>
    <xf numFmtId="164" fontId="4" fillId="0" borderId="4" xfId="0" applyNumberFormat="1" applyFont="1" applyBorder="1"/>
    <xf numFmtId="0" fontId="4" fillId="0" borderId="10" xfId="0" applyFont="1" applyBorder="1"/>
    <xf numFmtId="164" fontId="2" fillId="0" borderId="0" xfId="0" applyNumberFormat="1" applyFont="1"/>
    <xf numFmtId="0" fontId="2" fillId="0" borderId="14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center"/>
    </xf>
    <xf numFmtId="0" fontId="2" fillId="0" borderId="16" xfId="0" applyFont="1" applyBorder="1"/>
    <xf numFmtId="0" fontId="2" fillId="0" borderId="7" xfId="0" applyFont="1" applyBorder="1"/>
    <xf numFmtId="43" fontId="2" fillId="0" borderId="16" xfId="1" applyFont="1" applyBorder="1"/>
    <xf numFmtId="0" fontId="2" fillId="0" borderId="17" xfId="0" applyFont="1" applyBorder="1"/>
    <xf numFmtId="164" fontId="2" fillId="0" borderId="10" xfId="0" applyNumberFormat="1" applyFont="1" applyBorder="1"/>
    <xf numFmtId="164" fontId="2" fillId="0" borderId="9" xfId="0" applyNumberFormat="1" applyFont="1" applyBorder="1"/>
    <xf numFmtId="164" fontId="2" fillId="0" borderId="16" xfId="1" applyNumberFormat="1" applyFont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/>
    <xf numFmtId="165" fontId="3" fillId="0" borderId="4" xfId="0" applyNumberFormat="1" applyFont="1" applyBorder="1"/>
    <xf numFmtId="164" fontId="3" fillId="0" borderId="4" xfId="0" applyNumberFormat="1" applyFont="1" applyBorder="1"/>
    <xf numFmtId="16" fontId="2" fillId="0" borderId="6" xfId="0" applyNumberFormat="1" applyFont="1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/>
    <xf numFmtId="165" fontId="3" fillId="0" borderId="25" xfId="0" applyNumberFormat="1" applyFont="1" applyBorder="1"/>
    <xf numFmtId="164" fontId="3" fillId="0" borderId="25" xfId="0" applyNumberFormat="1" applyFont="1" applyBorder="1"/>
    <xf numFmtId="164" fontId="3" fillId="0" borderId="26" xfId="0" applyNumberFormat="1" applyFont="1" applyBorder="1"/>
    <xf numFmtId="0" fontId="3" fillId="3" borderId="6" xfId="0" applyFont="1" applyFill="1" applyBorder="1"/>
    <xf numFmtId="0" fontId="3" fillId="3" borderId="4" xfId="0" applyFont="1" applyFill="1" applyBorder="1"/>
    <xf numFmtId="43" fontId="3" fillId="3" borderId="4" xfId="1" applyFont="1" applyFill="1" applyBorder="1"/>
    <xf numFmtId="43" fontId="3" fillId="3" borderId="16" xfId="1" applyFont="1" applyFill="1" applyBorder="1"/>
    <xf numFmtId="43" fontId="2" fillId="0" borderId="0" xfId="0" applyNumberFormat="1" applyFont="1"/>
    <xf numFmtId="16" fontId="2" fillId="0" borderId="7" xfId="0" applyNumberFormat="1" applyFont="1" applyBorder="1"/>
    <xf numFmtId="0" fontId="2" fillId="0" borderId="10" xfId="0" applyFont="1" applyBorder="1"/>
    <xf numFmtId="43" fontId="2" fillId="0" borderId="10" xfId="1" applyFont="1" applyBorder="1"/>
    <xf numFmtId="43" fontId="2" fillId="0" borderId="9" xfId="1" applyFont="1" applyBorder="1"/>
    <xf numFmtId="16" fontId="2" fillId="0" borderId="0" xfId="0" applyNumberFormat="1" applyFont="1" applyBorder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0" borderId="15" xfId="0" applyFont="1" applyBorder="1"/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165" fontId="7" fillId="0" borderId="10" xfId="0" applyNumberFormat="1" applyFont="1" applyBorder="1"/>
    <xf numFmtId="164" fontId="7" fillId="0" borderId="10" xfId="0" applyNumberFormat="1" applyFont="1" applyBorder="1"/>
    <xf numFmtId="164" fontId="7" fillId="2" borderId="10" xfId="0" applyNumberFormat="1" applyFont="1" applyFill="1" applyBorder="1"/>
    <xf numFmtId="0" fontId="7" fillId="0" borderId="9" xfId="0" applyFont="1" applyBorder="1"/>
    <xf numFmtId="43" fontId="5" fillId="0" borderId="0" xfId="1" applyFont="1"/>
    <xf numFmtId="0" fontId="3" fillId="6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3" xfId="0" applyFont="1" applyBorder="1"/>
    <xf numFmtId="0" fontId="2" fillId="0" borderId="34" xfId="0" applyFont="1" applyBorder="1" applyAlignment="1">
      <alignment horizontal="center"/>
    </xf>
    <xf numFmtId="17" fontId="2" fillId="0" borderId="34" xfId="0" applyNumberFormat="1" applyFont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4" xfId="0" applyFont="1" applyFill="1" applyBorder="1"/>
    <xf numFmtId="0" fontId="2" fillId="7" borderId="35" xfId="0" applyFont="1" applyFill="1" applyBorder="1"/>
    <xf numFmtId="0" fontId="3" fillId="0" borderId="11" xfId="0" applyFont="1" applyBorder="1"/>
    <xf numFmtId="43" fontId="3" fillId="0" borderId="12" xfId="1" applyFont="1" applyBorder="1"/>
    <xf numFmtId="43" fontId="3" fillId="7" borderId="12" xfId="1" applyFont="1" applyFill="1" applyBorder="1"/>
    <xf numFmtId="43" fontId="2" fillId="7" borderId="12" xfId="1" applyFont="1" applyFill="1" applyBorder="1"/>
    <xf numFmtId="43" fontId="2" fillId="7" borderId="13" xfId="1" applyFont="1" applyFill="1" applyBorder="1"/>
    <xf numFmtId="0" fontId="2" fillId="0" borderId="6" xfId="0" applyFont="1" applyBorder="1" applyAlignment="1">
      <alignment horizontal="left" indent="2"/>
    </xf>
    <xf numFmtId="43" fontId="2" fillId="0" borderId="4" xfId="1" applyFont="1" applyBorder="1" applyAlignment="1">
      <alignment horizontal="left" indent="2"/>
    </xf>
    <xf numFmtId="43" fontId="2" fillId="7" borderId="16" xfId="1" applyFont="1" applyFill="1" applyBorder="1"/>
    <xf numFmtId="43" fontId="3" fillId="6" borderId="4" xfId="1" applyFont="1" applyFill="1" applyBorder="1" applyAlignment="1">
      <alignment horizontal="left"/>
    </xf>
    <xf numFmtId="43" fontId="3" fillId="6" borderId="4" xfId="1" applyFont="1" applyFill="1" applyBorder="1"/>
    <xf numFmtId="43" fontId="3" fillId="6" borderId="16" xfId="1" applyFont="1" applyFill="1" applyBorder="1"/>
    <xf numFmtId="43" fontId="2" fillId="0" borderId="4" xfId="1" applyFont="1" applyBorder="1" applyAlignment="1">
      <alignment horizontal="left"/>
    </xf>
    <xf numFmtId="0" fontId="3" fillId="0" borderId="0" xfId="0" applyFont="1"/>
    <xf numFmtId="43" fontId="3" fillId="3" borderId="4" xfId="1" applyFont="1" applyFill="1" applyBorder="1" applyAlignment="1">
      <alignment horizontal="left"/>
    </xf>
    <xf numFmtId="43" fontId="2" fillId="6" borderId="4" xfId="1" applyFont="1" applyFill="1" applyBorder="1"/>
    <xf numFmtId="43" fontId="3" fillId="7" borderId="4" xfId="1" applyFont="1" applyFill="1" applyBorder="1"/>
    <xf numFmtId="43" fontId="2" fillId="7" borderId="16" xfId="0" applyNumberFormat="1" applyFont="1" applyFill="1" applyBorder="1"/>
    <xf numFmtId="0" fontId="3" fillId="6" borderId="24" xfId="0" applyFont="1" applyFill="1" applyBorder="1" applyAlignment="1">
      <alignment horizontal="left"/>
    </xf>
    <xf numFmtId="43" fontId="2" fillId="6" borderId="25" xfId="1" applyFont="1" applyFill="1" applyBorder="1"/>
    <xf numFmtId="43" fontId="3" fillId="6" borderId="25" xfId="1" applyFont="1" applyFill="1" applyBorder="1"/>
    <xf numFmtId="43" fontId="3" fillId="7" borderId="25" xfId="1" applyFont="1" applyFill="1" applyBorder="1"/>
    <xf numFmtId="0" fontId="2" fillId="7" borderId="25" xfId="0" applyFont="1" applyFill="1" applyBorder="1"/>
    <xf numFmtId="43" fontId="2" fillId="7" borderId="26" xfId="0" applyNumberFormat="1" applyFont="1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2" fillId="8" borderId="7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4" fontId="4" fillId="0" borderId="4" xfId="0" applyNumberFormat="1" applyFont="1" applyBorder="1"/>
    <xf numFmtId="164" fontId="4" fillId="3" borderId="4" xfId="0" applyNumberFormat="1" applyFont="1" applyFill="1" applyBorder="1"/>
    <xf numFmtId="43" fontId="4" fillId="0" borderId="4" xfId="1" applyFont="1" applyFill="1" applyBorder="1"/>
    <xf numFmtId="0" fontId="2" fillId="6" borderId="0" xfId="0" applyFont="1" applyFill="1" applyBorder="1"/>
    <xf numFmtId="0" fontId="4" fillId="0" borderId="4" xfId="0" applyFont="1" applyFill="1" applyBorder="1"/>
    <xf numFmtId="43" fontId="4" fillId="0" borderId="16" xfId="1" applyFont="1" applyFill="1" applyBorder="1"/>
    <xf numFmtId="0" fontId="2" fillId="0" borderId="6" xfId="0" applyFont="1" applyFill="1" applyBorder="1"/>
    <xf numFmtId="43" fontId="2" fillId="0" borderId="16" xfId="1" applyFont="1" applyFill="1" applyBorder="1"/>
    <xf numFmtId="43" fontId="4" fillId="3" borderId="4" xfId="1" applyFont="1" applyFill="1" applyBorder="1"/>
    <xf numFmtId="0" fontId="2" fillId="0" borderId="6" xfId="0" applyFont="1" applyFill="1" applyBorder="1" applyAlignment="1">
      <alignment horizontal="left" indent="2"/>
    </xf>
    <xf numFmtId="165" fontId="2" fillId="10" borderId="4" xfId="0" applyNumberFormat="1" applyFont="1" applyFill="1" applyBorder="1"/>
    <xf numFmtId="43" fontId="2" fillId="10" borderId="4" xfId="1" applyNumberFormat="1" applyFont="1" applyFill="1" applyBorder="1"/>
    <xf numFmtId="165" fontId="2" fillId="11" borderId="4" xfId="0" applyNumberFormat="1" applyFont="1" applyFill="1" applyBorder="1"/>
    <xf numFmtId="43" fontId="2" fillId="11" borderId="4" xfId="1" applyNumberFormat="1" applyFont="1" applyFill="1" applyBorder="1"/>
    <xf numFmtId="165" fontId="5" fillId="10" borderId="4" xfId="0" applyNumberFormat="1" applyFont="1" applyFill="1" applyBorder="1"/>
    <xf numFmtId="43" fontId="2" fillId="3" borderId="4" xfId="1" applyNumberFormat="1" applyFont="1" applyFill="1" applyBorder="1"/>
    <xf numFmtId="164" fontId="2" fillId="3" borderId="4" xfId="0" applyNumberFormat="1" applyFont="1" applyFill="1" applyBorder="1"/>
    <xf numFmtId="43" fontId="2" fillId="8" borderId="4" xfId="1" applyNumberFormat="1" applyFont="1" applyFill="1" applyBorder="1"/>
    <xf numFmtId="165" fontId="5" fillId="11" borderId="4" xfId="0" applyNumberFormat="1" applyFont="1" applyFill="1" applyBorder="1"/>
    <xf numFmtId="43" fontId="5" fillId="2" borderId="4" xfId="1" applyNumberFormat="1" applyFont="1" applyFill="1" applyBorder="1"/>
    <xf numFmtId="0" fontId="0" fillId="0" borderId="0" xfId="0" applyNumberFormat="1"/>
    <xf numFmtId="43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43" fontId="0" fillId="0" borderId="4" xfId="0" applyNumberFormat="1" applyBorder="1"/>
    <xf numFmtId="165" fontId="0" fillId="0" borderId="0" xfId="0" applyNumberFormat="1" applyAlignment="1">
      <alignment horizontal="left"/>
    </xf>
    <xf numFmtId="0" fontId="3" fillId="5" borderId="12" xfId="0" applyFont="1" applyFill="1" applyBorder="1"/>
    <xf numFmtId="165" fontId="0" fillId="0" borderId="4" xfId="0" applyNumberFormat="1" applyBorder="1" applyAlignment="1">
      <alignment horizontal="left"/>
    </xf>
    <xf numFmtId="165" fontId="5" fillId="0" borderId="4" xfId="0" applyNumberFormat="1" applyFont="1" applyFill="1" applyBorder="1"/>
    <xf numFmtId="43" fontId="5" fillId="0" borderId="4" xfId="1" applyFont="1" applyFill="1" applyBorder="1"/>
    <xf numFmtId="164" fontId="5" fillId="0" borderId="4" xfId="1" applyNumberFormat="1" applyFont="1" applyFill="1" applyBorder="1"/>
    <xf numFmtId="0" fontId="5" fillId="0" borderId="4" xfId="0" applyFont="1" applyFill="1" applyBorder="1"/>
    <xf numFmtId="165" fontId="4" fillId="0" borderId="4" xfId="0" applyNumberFormat="1" applyFont="1" applyFill="1" applyBorder="1"/>
    <xf numFmtId="164" fontId="4" fillId="0" borderId="4" xfId="1" applyNumberFormat="1" applyFont="1" applyFill="1" applyBorder="1"/>
    <xf numFmtId="4" fontId="4" fillId="0" borderId="4" xfId="0" applyNumberFormat="1" applyFont="1" applyFill="1" applyBorder="1"/>
    <xf numFmtId="164" fontId="4" fillId="0" borderId="4" xfId="0" applyNumberFormat="1" applyFont="1" applyFill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center" wrapText="1"/>
    </xf>
    <xf numFmtId="0" fontId="2" fillId="0" borderId="38" xfId="0" applyFont="1" applyBorder="1" applyAlignment="1">
      <alignment wrapText="1"/>
    </xf>
    <xf numFmtId="0" fontId="2" fillId="0" borderId="36" xfId="0" applyFont="1" applyBorder="1"/>
    <xf numFmtId="0" fontId="4" fillId="0" borderId="38" xfId="0" applyFont="1" applyBorder="1"/>
    <xf numFmtId="0" fontId="2" fillId="0" borderId="12" xfId="0" applyFont="1" applyFill="1" applyBorder="1"/>
    <xf numFmtId="165" fontId="2" fillId="0" borderId="12" xfId="0" applyNumberFormat="1" applyFont="1" applyFill="1" applyBorder="1"/>
    <xf numFmtId="43" fontId="2" fillId="0" borderId="12" xfId="1" applyFont="1" applyFill="1" applyBorder="1"/>
    <xf numFmtId="43" fontId="2" fillId="0" borderId="13" xfId="1" applyFont="1" applyFill="1" applyBorder="1"/>
    <xf numFmtId="0" fontId="4" fillId="0" borderId="16" xfId="0" applyFont="1" applyFill="1" applyBorder="1"/>
    <xf numFmtId="43" fontId="4" fillId="0" borderId="5" xfId="1" applyFont="1" applyFill="1" applyBorder="1"/>
    <xf numFmtId="0" fontId="4" fillId="0" borderId="5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0" xfId="0" applyNumberFormat="1" applyFont="1" applyBorder="1"/>
    <xf numFmtId="164" fontId="3" fillId="3" borderId="16" xfId="0" applyNumberFormat="1" applyFont="1" applyFill="1" applyBorder="1"/>
    <xf numFmtId="164" fontId="3" fillId="3" borderId="26" xfId="0" applyNumberFormat="1" applyFont="1" applyFill="1" applyBorder="1"/>
    <xf numFmtId="164" fontId="2" fillId="0" borderId="25" xfId="0" applyNumberFormat="1" applyFont="1" applyBorder="1"/>
    <xf numFmtId="16" fontId="2" fillId="0" borderId="6" xfId="0" applyNumberFormat="1" applyFont="1" applyFill="1" applyBorder="1"/>
    <xf numFmtId="0" fontId="2" fillId="0" borderId="0" xfId="0" applyFont="1" applyBorder="1"/>
    <xf numFmtId="43" fontId="2" fillId="3" borderId="10" xfId="1" applyFont="1" applyFill="1" applyBorder="1"/>
    <xf numFmtId="43" fontId="2" fillId="0" borderId="10" xfId="0" applyNumberFormat="1" applyFont="1" applyBorder="1"/>
    <xf numFmtId="43" fontId="2" fillId="0" borderId="9" xfId="0" applyNumberFormat="1" applyFont="1" applyBorder="1"/>
    <xf numFmtId="165" fontId="5" fillId="0" borderId="0" xfId="0" applyNumberFormat="1" applyFont="1"/>
    <xf numFmtId="43" fontId="5" fillId="0" borderId="0" xfId="1" applyNumberFormat="1" applyFont="1"/>
    <xf numFmtId="0" fontId="6" fillId="3" borderId="6" xfId="0" applyFont="1" applyFill="1" applyBorder="1"/>
    <xf numFmtId="0" fontId="5" fillId="0" borderId="24" xfId="0" applyFont="1" applyBorder="1"/>
    <xf numFmtId="43" fontId="5" fillId="0" borderId="0" xfId="0" applyNumberFormat="1" applyFont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5" xfId="0" applyFont="1" applyFill="1" applyBorder="1"/>
    <xf numFmtId="165" fontId="4" fillId="0" borderId="25" xfId="0" applyNumberFormat="1" applyFont="1" applyFill="1" applyBorder="1"/>
    <xf numFmtId="164" fontId="4" fillId="0" borderId="25" xfId="0" applyNumberFormat="1" applyFont="1" applyFill="1" applyBorder="1"/>
    <xf numFmtId="0" fontId="4" fillId="0" borderId="26" xfId="0" applyFont="1" applyFill="1" applyBorder="1"/>
    <xf numFmtId="43" fontId="2" fillId="0" borderId="4" xfId="1" applyFont="1" applyFill="1" applyBorder="1" applyAlignment="1">
      <alignment horizontal="left"/>
    </xf>
    <xf numFmtId="43" fontId="4" fillId="0" borderId="4" xfId="1" applyNumberFormat="1" applyFont="1" applyBorder="1"/>
    <xf numFmtId="43" fontId="4" fillId="6" borderId="4" xfId="1" applyFont="1" applyFill="1" applyBorder="1"/>
    <xf numFmtId="0" fontId="4" fillId="0" borderId="8" xfId="0" applyFont="1" applyFill="1" applyBorder="1"/>
    <xf numFmtId="0" fontId="2" fillId="0" borderId="10" xfId="0" applyFont="1" applyFill="1" applyBorder="1"/>
    <xf numFmtId="0" fontId="4" fillId="0" borderId="10" xfId="0" applyFont="1" applyFill="1" applyBorder="1"/>
    <xf numFmtId="43" fontId="4" fillId="0" borderId="8" xfId="1" applyFont="1" applyBorder="1" applyAlignment="1"/>
    <xf numFmtId="17" fontId="0" fillId="0" borderId="0" xfId="0" applyNumberFormat="1"/>
    <xf numFmtId="43" fontId="4" fillId="0" borderId="9" xfId="1" applyFont="1" applyBorder="1"/>
    <xf numFmtId="0" fontId="13" fillId="0" borderId="24" xfId="0" applyFont="1" applyBorder="1" applyAlignment="1">
      <alignment horizontal="center"/>
    </xf>
    <xf numFmtId="0" fontId="13" fillId="0" borderId="25" xfId="0" applyFont="1" applyBorder="1"/>
    <xf numFmtId="165" fontId="13" fillId="0" borderId="25" xfId="0" applyNumberFormat="1" applyFont="1" applyBorder="1"/>
    <xf numFmtId="164" fontId="13" fillId="0" borderId="25" xfId="0" applyNumberFormat="1" applyFont="1" applyBorder="1"/>
    <xf numFmtId="164" fontId="13" fillId="0" borderId="26" xfId="0" applyNumberFormat="1" applyFont="1" applyBorder="1"/>
    <xf numFmtId="0" fontId="4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2" borderId="4" xfId="0" applyNumberFormat="1" applyFont="1" applyFill="1" applyBorder="1"/>
    <xf numFmtId="0" fontId="2" fillId="6" borderId="0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164" fontId="2" fillId="4" borderId="4" xfId="0" applyNumberFormat="1" applyFont="1" applyFill="1" applyBorder="1"/>
    <xf numFmtId="164" fontId="2" fillId="4" borderId="16" xfId="0" applyNumberFormat="1" applyFont="1" applyFill="1" applyBorder="1"/>
  </cellXfs>
  <cellStyles count="2">
    <cellStyle name="Comma" xfId="1" builtinId="3"/>
    <cellStyle name="Normal" xfId="0" builtinId="0"/>
  </cellStyles>
  <dxfs count="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[$-14009]dd\ mmmm\ yyyy;@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[$-14009]dd\ mmmm\ yyyy;@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[$-14009]dd\ mmmm\ yyyy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[$-14009]dd\ mmmm\ 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[$-14009]dd\ mmmm\ 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22" formatCode="mmm\-yy"/>
    </dxf>
    <dxf>
      <numFmt numFmtId="22" formatCode="mmm\-yy"/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December 2017.xlsx]Pivot!PivotTable1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Pivot!$C$2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Pivot!$B$3:$B$15</c:f>
              <c:strCache>
                <c:ptCount val="12"/>
                <c:pt idx="0">
                  <c:v>Bank</c:v>
                </c:pt>
                <c:pt idx="1">
                  <c:v>Communication</c:v>
                </c:pt>
                <c:pt idx="2">
                  <c:v>Electricity</c:v>
                </c:pt>
                <c:pt idx="3">
                  <c:v>Hardware</c:v>
                </c:pt>
                <c:pt idx="4">
                  <c:v>Infrastructure</c:v>
                </c:pt>
                <c:pt idx="5">
                  <c:v>Miscellaneous</c:v>
                </c:pt>
                <c:pt idx="6">
                  <c:v>Office</c:v>
                </c:pt>
                <c:pt idx="7">
                  <c:v>Others</c:v>
                </c:pt>
                <c:pt idx="8">
                  <c:v>Refreshments</c:v>
                </c:pt>
                <c:pt idx="9">
                  <c:v>Resources</c:v>
                </c:pt>
                <c:pt idx="10">
                  <c:v>Software</c:v>
                </c:pt>
                <c:pt idx="11">
                  <c:v>Stationery</c:v>
                </c:pt>
              </c:strCache>
            </c:strRef>
          </c:cat>
          <c:val>
            <c:numRef>
              <c:f>Pivot!$C$3:$C$15</c:f>
              <c:numCache>
                <c:formatCode>_(* #,##0.00_);_(* \(#,##0.00\);_(* "-"??_);_(@_)</c:formatCode>
                <c:ptCount val="12"/>
                <c:pt idx="0">
                  <c:v>3226.38</c:v>
                </c:pt>
                <c:pt idx="1">
                  <c:v>52309</c:v>
                </c:pt>
                <c:pt idx="2">
                  <c:v>38350</c:v>
                </c:pt>
                <c:pt idx="3">
                  <c:v>534493</c:v>
                </c:pt>
                <c:pt idx="4">
                  <c:v>158409.23000000001</c:v>
                </c:pt>
                <c:pt idx="5">
                  <c:v>22846.2</c:v>
                </c:pt>
                <c:pt idx="6">
                  <c:v>481418.04000000004</c:v>
                </c:pt>
                <c:pt idx="7">
                  <c:v>1468</c:v>
                </c:pt>
                <c:pt idx="8">
                  <c:v>29091</c:v>
                </c:pt>
                <c:pt idx="9">
                  <c:v>514081</c:v>
                </c:pt>
                <c:pt idx="10">
                  <c:v>84845.64</c:v>
                </c:pt>
                <c:pt idx="11">
                  <c:v>40759.990000000005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December 2017.xlsx]Pivot!PivotTable4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Pivot!$C$18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Pivot!$B$19:$B$39</c:f>
              <c:strCache>
                <c:ptCount val="20"/>
                <c:pt idx="0">
                  <c:v>15 June 2016</c:v>
                </c:pt>
                <c:pt idx="1">
                  <c:v>08 February 2017</c:v>
                </c:pt>
                <c:pt idx="2">
                  <c:v>20 March 2017</c:v>
                </c:pt>
                <c:pt idx="3">
                  <c:v>23 March 2017</c:v>
                </c:pt>
                <c:pt idx="4">
                  <c:v>24 March 2017</c:v>
                </c:pt>
                <c:pt idx="5">
                  <c:v>30 March 2017</c:v>
                </c:pt>
                <c:pt idx="6">
                  <c:v>13 April 2017</c:v>
                </c:pt>
                <c:pt idx="7">
                  <c:v>15 April 2017</c:v>
                </c:pt>
                <c:pt idx="8">
                  <c:v>26 April 2017</c:v>
                </c:pt>
                <c:pt idx="9">
                  <c:v>03 May 2017</c:v>
                </c:pt>
                <c:pt idx="10">
                  <c:v>19 May 2017</c:v>
                </c:pt>
                <c:pt idx="11">
                  <c:v>08 June 2017</c:v>
                </c:pt>
                <c:pt idx="12">
                  <c:v>28 June 2017</c:v>
                </c:pt>
                <c:pt idx="13">
                  <c:v>21 July 2017</c:v>
                </c:pt>
                <c:pt idx="14">
                  <c:v>08 September 2017</c:v>
                </c:pt>
                <c:pt idx="15">
                  <c:v>14 September 2017</c:v>
                </c:pt>
                <c:pt idx="16">
                  <c:v>29 September 2017</c:v>
                </c:pt>
                <c:pt idx="17">
                  <c:v>23 October 2017</c:v>
                </c:pt>
                <c:pt idx="18">
                  <c:v>30 October 2017</c:v>
                </c:pt>
                <c:pt idx="19">
                  <c:v>06 November 2017</c:v>
                </c:pt>
              </c:strCache>
            </c:strRef>
          </c:cat>
          <c:val>
            <c:numRef>
              <c:f>Pivot!$C$19:$C$39</c:f>
              <c:numCache>
                <c:formatCode>_(* #,##0.00_);_(* \(#,##0.00\);_(* "-"??_);_(@_)</c:formatCode>
                <c:ptCount val="20"/>
                <c:pt idx="0">
                  <c:v>14346.504559270517</c:v>
                </c:pt>
                <c:pt idx="1">
                  <c:v>13499</c:v>
                </c:pt>
                <c:pt idx="2">
                  <c:v>70</c:v>
                </c:pt>
                <c:pt idx="3">
                  <c:v>56219</c:v>
                </c:pt>
                <c:pt idx="4">
                  <c:v>98656.03</c:v>
                </c:pt>
                <c:pt idx="5">
                  <c:v>70071</c:v>
                </c:pt>
                <c:pt idx="6">
                  <c:v>341433.47000000003</c:v>
                </c:pt>
                <c:pt idx="7">
                  <c:v>413797.54000000004</c:v>
                </c:pt>
                <c:pt idx="8">
                  <c:v>9000</c:v>
                </c:pt>
                <c:pt idx="9">
                  <c:v>205178.98</c:v>
                </c:pt>
                <c:pt idx="10">
                  <c:v>18181.900000000001</c:v>
                </c:pt>
                <c:pt idx="11">
                  <c:v>106927</c:v>
                </c:pt>
                <c:pt idx="12">
                  <c:v>5000</c:v>
                </c:pt>
                <c:pt idx="13">
                  <c:v>108462</c:v>
                </c:pt>
                <c:pt idx="14">
                  <c:v>1480</c:v>
                </c:pt>
                <c:pt idx="15">
                  <c:v>71010</c:v>
                </c:pt>
                <c:pt idx="16">
                  <c:v>115</c:v>
                </c:pt>
                <c:pt idx="17">
                  <c:v>151189</c:v>
                </c:pt>
                <c:pt idx="18">
                  <c:v>954.5</c:v>
                </c:pt>
                <c:pt idx="19">
                  <c:v>73983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1311176727909009"/>
          <c:y val="3.1584645669291339E-2"/>
          <c:w val="0.27299934383202101"/>
          <c:h val="0.93208515602216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</xdr:row>
      <xdr:rowOff>71437</xdr:rowOff>
    </xdr:from>
    <xdr:to>
      <xdr:col>8</xdr:col>
      <xdr:colOff>766762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17</xdr:row>
      <xdr:rowOff>185737</xdr:rowOff>
    </xdr:from>
    <xdr:to>
      <xdr:col>8</xdr:col>
      <xdr:colOff>738187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PAN-PC" refreshedDate="43055.563725925924" createdVersion="4" refreshedVersion="5" minRefreshableVersion="3" recordCount="28">
  <cacheSource type="worksheet">
    <worksheetSource ref="K2:L30" sheet="Pivot"/>
  </cacheSource>
  <cacheFields count="2">
    <cacheField name="Date" numFmtId="165">
      <sharedItems containsSemiMixedTypes="0" containsNonDate="0" containsDate="1" containsString="0" minDate="2016-06-15T00:00:00" maxDate="2017-11-07T00:00:00" count="20">
        <d v="2016-06-15T00:00:00"/>
        <d v="2017-02-08T00:00:00"/>
        <d v="2017-03-20T00:00:00"/>
        <d v="2017-03-23T00:00:00"/>
        <d v="2017-03-24T00:00:00"/>
        <d v="2017-03-30T00:00:00"/>
        <d v="2017-04-13T00:00:00"/>
        <d v="2017-04-15T00:00:00"/>
        <d v="2017-04-26T00:00:00"/>
        <d v="2017-05-03T00:00:00"/>
        <d v="2017-05-19T00:00:00"/>
        <d v="2017-06-08T00:00:00"/>
        <d v="2017-06-28T00:00:00"/>
        <d v="2017-07-21T00:00:00"/>
        <d v="2017-09-08T00:00:00"/>
        <d v="2017-09-14T00:00:00"/>
        <d v="2017-09-29T00:00:00"/>
        <d v="2017-10-23T00:00:00"/>
        <d v="2017-10-30T00:00:00"/>
        <d v="2017-11-06T00:00:00"/>
      </sharedItems>
    </cacheField>
    <cacheField name="Credit" numFmtId="0">
      <sharedItems containsSemiMixedTypes="0" containsString="0" containsNumber="1" minValue="0" maxValue="413797.54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81.686992361108" createdVersion="4" refreshedVersion="5" minRefreshableVersion="3" recordCount="208">
  <cacheSource type="worksheet">
    <worksheetSource name="Table54[[Debit]:[Category]]"/>
  </cacheSource>
  <cacheFields count="6">
    <cacheField name="Debit" numFmtId="43">
      <sharedItems containsString="0" containsBlank="1" containsNumber="1" minValue="0" maxValue="413797.54000000004"/>
    </cacheField>
    <cacheField name="Difference" numFmtId="43">
      <sharedItems containsSemiMixedTypes="0" containsString="0" containsNumber="1" minValue="-127160" maxValue="205178.98"/>
    </cacheField>
    <cacheField name="Running _x000a_Balance" numFmtId="0">
      <sharedItems containsSemiMixedTypes="0" containsString="0" containsNumber="1" minValue="-46274.995440729486" maxValue="430266.04455927049"/>
    </cacheField>
    <cacheField name="Estimate" numFmtId="43">
      <sharedItems containsString="0" containsBlank="1" containsNumber="1" containsInteger="1" minValue="3100" maxValue="4900"/>
    </cacheField>
    <cacheField name="Comments" numFmtId="0">
      <sharedItems/>
    </cacheField>
    <cacheField name="Category" numFmtId="0">
      <sharedItems count="15">
        <s v="Office"/>
        <s v="Stationery"/>
        <s v="Infrastructure"/>
        <s v="Others"/>
        <s v="Communication"/>
        <s v="Loan"/>
        <s v="Hardware"/>
        <s v="Software"/>
        <s v="Bank"/>
        <s v="Loan Repayment"/>
        <s v="Resources"/>
        <s v="Electricity"/>
        <s v="Refreshments"/>
        <s v="Miscellaneous"/>
        <s v="T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n v="14346.504559270517"/>
  </r>
  <r>
    <x v="1"/>
    <n v="13499"/>
  </r>
  <r>
    <x v="2"/>
    <n v="70"/>
  </r>
  <r>
    <x v="3"/>
    <n v="55096"/>
  </r>
  <r>
    <x v="3"/>
    <n v="30"/>
  </r>
  <r>
    <x v="3"/>
    <n v="1093"/>
  </r>
  <r>
    <x v="4"/>
    <n v="88381.03"/>
  </r>
  <r>
    <x v="4"/>
    <n v="10000"/>
  </r>
  <r>
    <x v="4"/>
    <n v="70"/>
  </r>
  <r>
    <x v="4"/>
    <n v="205"/>
  </r>
  <r>
    <x v="4"/>
    <n v="0"/>
  </r>
  <r>
    <x v="5"/>
    <n v="70071"/>
  </r>
  <r>
    <x v="6"/>
    <n v="341433.47000000003"/>
  </r>
  <r>
    <x v="7"/>
    <n v="413797.54000000004"/>
  </r>
  <r>
    <x v="8"/>
    <n v="9000"/>
  </r>
  <r>
    <x v="9"/>
    <n v="205178.98"/>
  </r>
  <r>
    <x v="10"/>
    <n v="7000"/>
  </r>
  <r>
    <x v="10"/>
    <n v="11181.9"/>
  </r>
  <r>
    <x v="11"/>
    <n v="106927"/>
  </r>
  <r>
    <x v="12"/>
    <n v="5000"/>
  </r>
  <r>
    <x v="13"/>
    <n v="108462"/>
  </r>
  <r>
    <x v="14"/>
    <n v="740"/>
  </r>
  <r>
    <x v="14"/>
    <n v="740"/>
  </r>
  <r>
    <x v="15"/>
    <n v="71010"/>
  </r>
  <r>
    <x v="16"/>
    <n v="115"/>
  </r>
  <r>
    <x v="17"/>
    <n v="151189"/>
  </r>
  <r>
    <x v="18"/>
    <n v="954.5"/>
  </r>
  <r>
    <x v="19"/>
    <n v="739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n v="14346.5"/>
    <n v="4.5592705173476133E-3"/>
    <n v="4.5592705173476133E-3"/>
    <m/>
    <s v="Paid By Amal"/>
    <x v="0"/>
  </r>
  <r>
    <n v="1200"/>
    <n v="-1200"/>
    <n v="-1199.9954407294827"/>
    <m/>
    <s v="Paid By Tapan"/>
    <x v="1"/>
  </r>
  <r>
    <n v="5400"/>
    <n v="-5400"/>
    <n v="-6599.9954407294827"/>
    <m/>
    <s v="Paid By Tapan"/>
    <x v="1"/>
  </r>
  <r>
    <n v="13499"/>
    <n v="0"/>
    <n v="-6599.9954407294827"/>
    <m/>
    <s v="Paid By Amal"/>
    <x v="0"/>
  </r>
  <r>
    <n v="34500"/>
    <n v="-34500"/>
    <n v="-41099.995440729486"/>
    <m/>
    <s v="Paid By Tapan"/>
    <x v="2"/>
  </r>
  <r>
    <n v="70"/>
    <n v="0"/>
    <n v="-41099.995440729486"/>
    <m/>
    <s v="Paid By Tapan"/>
    <x v="3"/>
  </r>
  <r>
    <n v="5175"/>
    <n v="-5175"/>
    <n v="-46274.995440729486"/>
    <m/>
    <s v="Paid By Tapan"/>
    <x v="4"/>
  </r>
  <r>
    <m/>
    <n v="55096"/>
    <n v="8821.0045592705137"/>
    <m/>
    <s v="For Opening CA"/>
    <x v="5"/>
  </r>
  <r>
    <n v="30"/>
    <n v="0"/>
    <n v="8821.0045592705137"/>
    <m/>
    <s v="Paid By Amal"/>
    <x v="3"/>
  </r>
  <r>
    <n v="1093"/>
    <n v="0"/>
    <n v="8821.0045592705137"/>
    <m/>
    <s v="Paid By Amal"/>
    <x v="3"/>
  </r>
  <r>
    <n v="88381.03"/>
    <n v="0"/>
    <n v="8821.0045592705137"/>
    <m/>
    <s v="Paid By Amal"/>
    <x v="2"/>
  </r>
  <r>
    <m/>
    <n v="10000"/>
    <n v="18821.004559270514"/>
    <m/>
    <s v="Cash By Amal"/>
    <x v="5"/>
  </r>
  <r>
    <n v="2000"/>
    <n v="-2000"/>
    <n v="16821.004559270514"/>
    <n v="4900"/>
    <s v="Paid By Tapan"/>
    <x v="1"/>
  </r>
  <r>
    <n v="23041"/>
    <n v="-23041"/>
    <n v="-6219.9954407294863"/>
    <m/>
    <s v="Paid By Tapan"/>
    <x v="0"/>
  </r>
  <r>
    <n v="70"/>
    <n v="0"/>
    <n v="-6219.9954407294863"/>
    <m/>
    <s v="Paid By Amal"/>
    <x v="3"/>
  </r>
  <r>
    <n v="205"/>
    <n v="0"/>
    <n v="-6219.9954407294863"/>
    <m/>
    <s v="Paid By Tapan"/>
    <x v="3"/>
  </r>
  <r>
    <n v="2900"/>
    <n v="-2900"/>
    <n v="-9119.9954407294863"/>
    <m/>
    <s v="Paid By Tapan"/>
    <x v="1"/>
  </r>
  <r>
    <n v="3400"/>
    <n v="-3400"/>
    <n v="-12519.995440729486"/>
    <n v="3100"/>
    <s v="Paid By Tapan"/>
    <x v="0"/>
  </r>
  <r>
    <n v="810"/>
    <n v="-810"/>
    <n v="-13329.995440729486"/>
    <m/>
    <s v="Paid By Tapan"/>
    <x v="0"/>
  </r>
  <r>
    <n v="100"/>
    <n v="-100"/>
    <n v="-13429.995440729486"/>
    <m/>
    <s v="Paid By Tapan"/>
    <x v="0"/>
  </r>
  <r>
    <n v="500"/>
    <n v="-500"/>
    <n v="-13929.995440729486"/>
    <m/>
    <s v="Paid By Tapan"/>
    <x v="1"/>
  </r>
  <r>
    <m/>
    <n v="70071"/>
    <n v="56141.004559270514"/>
    <m/>
    <s v="Paid By Amal"/>
    <x v="5"/>
  </r>
  <r>
    <n v="4570"/>
    <n v="-4570"/>
    <n v="51571.004559270514"/>
    <m/>
    <s v="Paid By Tapan"/>
    <x v="4"/>
  </r>
  <r>
    <n v="341433.47000000003"/>
    <n v="0"/>
    <n v="51571.004559270514"/>
    <m/>
    <s v="Paid By Amal"/>
    <x v="6"/>
  </r>
  <r>
    <n v="5000"/>
    <n v="-5000"/>
    <n v="46571.004559270514"/>
    <m/>
    <s v="Paid By Tapan"/>
    <x v="0"/>
  </r>
  <r>
    <n v="3000"/>
    <n v="-3000"/>
    <n v="43571.004559270514"/>
    <m/>
    <s v="Paid By Tapan"/>
    <x v="1"/>
  </r>
  <r>
    <n v="413797.54000000004"/>
    <n v="0"/>
    <n v="43571.004559270514"/>
    <m/>
    <s v="Paid By Amal"/>
    <x v="0"/>
  </r>
  <r>
    <n v="1490.4"/>
    <n v="-1490.4"/>
    <n v="42080.604559270512"/>
    <m/>
    <s v="Paid By Tapan"/>
    <x v="7"/>
  </r>
  <r>
    <n v="517.5"/>
    <n v="-517.5"/>
    <n v="41563.104559270512"/>
    <m/>
    <s v="Bank Transaction"/>
    <x v="8"/>
  </r>
  <r>
    <n v="9000"/>
    <n v="0"/>
    <n v="41563.104559270512"/>
    <m/>
    <s v="Paid By Tapan"/>
    <x v="9"/>
  </r>
  <r>
    <n v="1300"/>
    <n v="-1300"/>
    <n v="40263.104559270512"/>
    <m/>
    <s v="Paid By Tapan"/>
    <x v="10"/>
  </r>
  <r>
    <n v="5334"/>
    <n v="-5334"/>
    <n v="34929.104559270512"/>
    <m/>
    <s v="Paid By Tapan"/>
    <x v="10"/>
  </r>
  <r>
    <n v="2000"/>
    <n v="-2000"/>
    <n v="32929.104559270512"/>
    <m/>
    <s v="Paid By Tapan"/>
    <x v="10"/>
  </r>
  <r>
    <n v="6667"/>
    <n v="-6667"/>
    <n v="26262.104559270512"/>
    <m/>
    <s v="Paid By Tapan"/>
    <x v="10"/>
  </r>
  <r>
    <m/>
    <n v="205178.98"/>
    <n v="231441.08455927053"/>
    <m/>
    <s v="Paid By Amal"/>
    <x v="5"/>
  </r>
  <r>
    <n v="861.38"/>
    <n v="-861.38"/>
    <n v="230579.70455927053"/>
    <m/>
    <s v="Bank Transaction"/>
    <x v="8"/>
  </r>
  <r>
    <n v="127160"/>
    <n v="-127160"/>
    <n v="103419.70455927053"/>
    <m/>
    <s v="Paid By Tapan"/>
    <x v="6"/>
  </r>
  <r>
    <n v="6667"/>
    <n v="-6667"/>
    <n v="96752.704559270525"/>
    <m/>
    <s v="Paid By Tapan"/>
    <x v="10"/>
  </r>
  <r>
    <n v="5667"/>
    <n v="-5667"/>
    <n v="91085.704559270525"/>
    <m/>
    <s v="Paid By Tapan"/>
    <x v="10"/>
  </r>
  <r>
    <n v="2995"/>
    <n v="-2995"/>
    <n v="88090.704559270525"/>
    <m/>
    <s v="Paid By Tapan"/>
    <x v="1"/>
  </r>
  <r>
    <n v="1157"/>
    <n v="-1157"/>
    <n v="86933.704559270525"/>
    <m/>
    <s v="Paid By Tapan"/>
    <x v="1"/>
  </r>
  <r>
    <n v="28.75"/>
    <n v="-28.75"/>
    <n v="86904.954559270525"/>
    <m/>
    <s v="Bank Transaction"/>
    <x v="8"/>
  </r>
  <r>
    <n v="28.75"/>
    <n v="-28.75"/>
    <n v="86876.204559270525"/>
    <m/>
    <s v="Bank Transaction"/>
    <x v="8"/>
  </r>
  <r>
    <n v="160"/>
    <n v="-160"/>
    <n v="86716.204559270525"/>
    <m/>
    <s v="Paid By Tapan"/>
    <x v="1"/>
  </r>
  <r>
    <n v="287.5"/>
    <n v="-287.5"/>
    <n v="86428.704559270525"/>
    <m/>
    <s v="Bank Transaction"/>
    <x v="8"/>
  </r>
  <r>
    <n v="7000"/>
    <n v="-7000"/>
    <n v="79428.704559270525"/>
    <m/>
    <s v="Bank Transaction"/>
    <x v="5"/>
  </r>
  <r>
    <n v="0"/>
    <n v="7000"/>
    <n v="86428.704559270525"/>
    <m/>
    <s v="Bank Transaction"/>
    <x v="5"/>
  </r>
  <r>
    <n v="956.99"/>
    <n v="-956.99"/>
    <n v="85471.71455927052"/>
    <m/>
    <s v="Bank Transaction"/>
    <x v="1"/>
  </r>
  <r>
    <n v="11181.9"/>
    <n v="0"/>
    <n v="85471.71455927052"/>
    <m/>
    <s v="Bank Transaction"/>
    <x v="9"/>
  </r>
  <r>
    <n v="3800"/>
    <n v="-3800"/>
    <n v="81671.71455927052"/>
    <m/>
    <s v="Bank Transaction"/>
    <x v="11"/>
  </r>
  <r>
    <n v="15000"/>
    <n v="-15000"/>
    <n v="66671.71455927052"/>
    <m/>
    <s v="Paid By Amal"/>
    <x v="9"/>
  </r>
  <r>
    <n v="9800"/>
    <n v="-9800"/>
    <n v="56871.71455927052"/>
    <m/>
    <s v="Paid By Tapan"/>
    <x v="10"/>
  </r>
  <r>
    <n v="9800"/>
    <n v="-9800"/>
    <n v="47071.71455927052"/>
    <m/>
    <s v="Paid By Tapan"/>
    <x v="10"/>
  </r>
  <r>
    <n v="9800"/>
    <n v="-9800"/>
    <n v="37271.71455927052"/>
    <m/>
    <s v="Paid By Tapan"/>
    <x v="10"/>
  </r>
  <r>
    <n v="8000"/>
    <n v="-8000"/>
    <n v="29271.71455927052"/>
    <m/>
    <s v="Paid By Tapan"/>
    <x v="10"/>
  </r>
  <r>
    <n v="1200"/>
    <n v="-1200"/>
    <n v="28071.71455927052"/>
    <m/>
    <s v="Paid By Tapan"/>
    <x v="10"/>
  </r>
  <r>
    <n v="1000"/>
    <n v="-1000"/>
    <n v="27071.71455927052"/>
    <m/>
    <s v="Paid By Tapan"/>
    <x v="4"/>
  </r>
  <r>
    <n v="1708"/>
    <n v="-1708"/>
    <n v="25363.71455927052"/>
    <m/>
    <s v="Paid By Tapan"/>
    <x v="12"/>
  </r>
  <r>
    <n v="3023"/>
    <n v="-3023"/>
    <n v="22340.71455927052"/>
    <m/>
    <s v="Paid By Tapan"/>
    <x v="1"/>
  </r>
  <r>
    <m/>
    <n v="106927"/>
    <n v="129267.71455927052"/>
    <m/>
    <s v="Paid By Amal"/>
    <x v="5"/>
  </r>
  <r>
    <n v="1523"/>
    <n v="-1523"/>
    <n v="127744.71455927052"/>
    <m/>
    <s v="Paid By Tapan"/>
    <x v="1"/>
  </r>
  <r>
    <n v="16223"/>
    <n v="-16223"/>
    <n v="111521.71455927052"/>
    <m/>
    <s v="Paid By Tapan"/>
    <x v="4"/>
  </r>
  <r>
    <n v="3799"/>
    <n v="-3799"/>
    <n v="107722.71455927052"/>
    <m/>
    <s v="Paid By Tapan"/>
    <x v="1"/>
  </r>
  <r>
    <n v="287.5"/>
    <n v="-287.5"/>
    <n v="107435.21455927052"/>
    <m/>
    <s v="Bank Transaction"/>
    <x v="8"/>
  </r>
  <r>
    <n v="28.75"/>
    <n v="-28.75"/>
    <n v="107406.46455927052"/>
    <m/>
    <s v="Bank Transaction"/>
    <x v="8"/>
  </r>
  <r>
    <n v="28.75"/>
    <n v="-28.75"/>
    <n v="107377.71455927052"/>
    <m/>
    <s v="Bank Transaction"/>
    <x v="8"/>
  </r>
  <r>
    <n v="862.5"/>
    <n v="-862.5"/>
    <n v="106515.21455927052"/>
    <m/>
    <s v="Bank Transaction"/>
    <x v="8"/>
  </r>
  <r>
    <n v="4009.22"/>
    <n v="-4009.22"/>
    <n v="102505.99455927052"/>
    <m/>
    <s v="Paid By Tapan"/>
    <x v="7"/>
  </r>
  <r>
    <n v="14.89"/>
    <n v="-14.89"/>
    <n v="102491.10455927052"/>
    <m/>
    <s v="Paid By Tapan"/>
    <x v="7"/>
  </r>
  <r>
    <n v="5000"/>
    <n v="-5000"/>
    <n v="97491.10455927052"/>
    <m/>
    <s v="Bank Transaction"/>
    <x v="5"/>
  </r>
  <r>
    <m/>
    <n v="5000"/>
    <n v="102491.10455927052"/>
    <m/>
    <s v="Bank Transaction"/>
    <x v="5"/>
  </r>
  <r>
    <n v="8000"/>
    <n v="-8000"/>
    <n v="94491.10455927052"/>
    <m/>
    <s v="Paid By Tapan"/>
    <x v="10"/>
  </r>
  <r>
    <n v="9800"/>
    <n v="-9800"/>
    <n v="84691.10455927052"/>
    <m/>
    <s v="Paid By Tapan"/>
    <x v="10"/>
  </r>
  <r>
    <n v="9800"/>
    <n v="-9800"/>
    <n v="74891.10455927052"/>
    <m/>
    <s v="Paid By Tapan"/>
    <x v="10"/>
  </r>
  <r>
    <n v="922"/>
    <n v="-922"/>
    <n v="73969.10455927052"/>
    <m/>
    <s v="Paid By Tapan"/>
    <x v="4"/>
  </r>
  <r>
    <n v="1086"/>
    <n v="-1086"/>
    <n v="72883.10455927052"/>
    <m/>
    <s v="Paid By Tapan"/>
    <x v="12"/>
  </r>
  <r>
    <n v="1200"/>
    <n v="-1200"/>
    <n v="71683.10455927052"/>
    <m/>
    <s v="Paid By Tapan"/>
    <x v="10"/>
  </r>
  <r>
    <n v="5000"/>
    <n v="-5000"/>
    <n v="66683.10455927052"/>
    <m/>
    <s v="Paid By Tapan"/>
    <x v="2"/>
  </r>
  <r>
    <n v="10350"/>
    <n v="-10350"/>
    <n v="56333.10455927052"/>
    <m/>
    <s v="Paid By Tapan"/>
    <x v="7"/>
  </r>
  <r>
    <n v="975"/>
    <n v="-975"/>
    <n v="55358.10455927052"/>
    <m/>
    <s v="Paid By Tapan"/>
    <x v="1"/>
  </r>
  <r>
    <n v="15525"/>
    <n v="-15525"/>
    <n v="39833.10455927052"/>
    <m/>
    <s v="Paid By Tapan"/>
    <x v="7"/>
  </r>
  <r>
    <n v="1038"/>
    <n v="-1038"/>
    <n v="38795.10455927052"/>
    <m/>
    <s v="Paid By Tapan"/>
    <x v="4"/>
  </r>
  <r>
    <n v="6190"/>
    <n v="-6190"/>
    <n v="32605.10455927052"/>
    <m/>
    <s v="Paid By Tapan"/>
    <x v="2"/>
  </r>
  <r>
    <m/>
    <n v="108462"/>
    <n v="141067.10455927052"/>
    <m/>
    <s v="Paid By Amal"/>
    <x v="5"/>
  </r>
  <r>
    <n v="880"/>
    <n v="-880"/>
    <n v="140187.10455927052"/>
    <m/>
    <s v="Paid By Tapan"/>
    <x v="11"/>
  </r>
  <r>
    <n v="2232"/>
    <n v="-2232"/>
    <n v="137955.10455927052"/>
    <m/>
    <s v="Paid By Tapan"/>
    <x v="7"/>
  </r>
  <r>
    <n v="2232"/>
    <n v="-2232"/>
    <n v="135723.10455927052"/>
    <m/>
    <s v="Paid By Tapan"/>
    <x v="7"/>
  </r>
  <r>
    <n v="970"/>
    <n v="-970"/>
    <n v="134753.10455927052"/>
    <m/>
    <s v="Paid By Tapan"/>
    <x v="1"/>
  </r>
  <r>
    <n v="8000"/>
    <n v="-8000"/>
    <n v="126753.10455927052"/>
    <m/>
    <s v="Paid By Tapan"/>
    <x v="10"/>
  </r>
  <r>
    <n v="9800"/>
    <n v="-9800"/>
    <n v="116953.10455927052"/>
    <m/>
    <s v="Paid By Tapan"/>
    <x v="10"/>
  </r>
  <r>
    <n v="1200"/>
    <n v="-1200"/>
    <n v="115753.10455927052"/>
    <m/>
    <s v="Paid By Tapan"/>
    <x v="10"/>
  </r>
  <r>
    <n v="2532"/>
    <n v="-2532"/>
    <n v="113221.10455927052"/>
    <m/>
    <s v="Paid By Tapan"/>
    <x v="12"/>
  </r>
  <r>
    <n v="9000"/>
    <n v="-9000"/>
    <n v="104221.10455927052"/>
    <m/>
    <s v="Paid By Tapan"/>
    <x v="10"/>
  </r>
  <r>
    <n v="25488"/>
    <n v="-25488"/>
    <n v="78733.10455927052"/>
    <m/>
    <s v="Paid By Tapan"/>
    <x v="10"/>
  </r>
  <r>
    <n v="29.5"/>
    <n v="-29.5"/>
    <n v="78703.60455927052"/>
    <m/>
    <s v="Bank Transaction"/>
    <x v="8"/>
  </r>
  <r>
    <n v="29.5"/>
    <n v="-29.5"/>
    <n v="78674.10455927052"/>
    <m/>
    <s v="Bank Transaction"/>
    <x v="8"/>
  </r>
  <r>
    <n v="1000"/>
    <n v="-1000"/>
    <n v="77674.10455927052"/>
    <m/>
    <s v="Paid By Tapan"/>
    <x v="1"/>
  </r>
  <r>
    <n v="740"/>
    <n v="-740"/>
    <n v="76934.10455927052"/>
    <m/>
    <s v="Paid By Tapan"/>
    <x v="12"/>
  </r>
  <r>
    <n v="740"/>
    <n v="-740"/>
    <n v="76194.10455927052"/>
    <m/>
    <s v="Paid By Tapan"/>
    <x v="12"/>
  </r>
  <r>
    <n v="740"/>
    <n v="-740"/>
    <n v="75454.10455927052"/>
    <m/>
    <s v="Paid By Tapan"/>
    <x v="12"/>
  </r>
  <r>
    <n v="950"/>
    <n v="-950"/>
    <n v="74504.10455927052"/>
    <m/>
    <s v="Paid By Tapan"/>
    <x v="1"/>
  </r>
  <r>
    <n v="1857"/>
    <n v="-1857"/>
    <n v="72647.10455927052"/>
    <m/>
    <s v="Paid By Tapan"/>
    <x v="4"/>
  </r>
  <r>
    <n v="837"/>
    <n v="-837"/>
    <n v="71810.10455927052"/>
    <m/>
    <s v="Paid By Tapan"/>
    <x v="7"/>
  </r>
  <r>
    <n v="9000"/>
    <n v="-9000"/>
    <n v="62810.10455927052"/>
    <m/>
    <s v="Paid By Tapan"/>
    <x v="10"/>
  </r>
  <r>
    <n v="10000"/>
    <n v="-10000"/>
    <n v="52810.10455927052"/>
    <m/>
    <s v="Paid By Tapan"/>
    <x v="10"/>
  </r>
  <r>
    <n v="10000"/>
    <n v="-10000"/>
    <n v="42810.10455927052"/>
    <m/>
    <s v="Paid By Tapan"/>
    <x v="10"/>
  </r>
  <r>
    <n v="1200"/>
    <n v="-1200"/>
    <n v="41610.10455927052"/>
    <m/>
    <s v="Paid By Tapan"/>
    <x v="10"/>
  </r>
  <r>
    <n v="6023.6"/>
    <n v="-6023.6"/>
    <n v="35586.504559270521"/>
    <m/>
    <s v="Paid By Tapan"/>
    <x v="2"/>
  </r>
  <r>
    <n v="2344"/>
    <n v="-2344"/>
    <n v="33242.504559270521"/>
    <m/>
    <s v="Paid By Tapan"/>
    <x v="12"/>
  </r>
  <r>
    <n v="149"/>
    <n v="-149"/>
    <n v="33093.504559270521"/>
    <m/>
    <s v="Paid By Tapan"/>
    <x v="1"/>
  </r>
  <r>
    <n v="550"/>
    <n v="-550"/>
    <n v="32543.504559270521"/>
    <m/>
    <s v="Paid By Tapan"/>
    <x v="1"/>
  </r>
  <r>
    <n v="210"/>
    <n v="-210"/>
    <n v="32333.504559270521"/>
    <m/>
    <s v="Paid By Tapan"/>
    <x v="1"/>
  </r>
  <r>
    <n v="4000"/>
    <n v="-4000"/>
    <n v="28333.504559270521"/>
    <m/>
    <s v="Paid By Tapan"/>
    <x v="2"/>
  </r>
  <r>
    <n v="29.5"/>
    <n v="-29.5"/>
    <n v="28304.004559270521"/>
    <m/>
    <s v="Bank Transaction"/>
    <x v="8"/>
  </r>
  <r>
    <n v="29.5"/>
    <n v="-29.5"/>
    <n v="28274.504559270521"/>
    <m/>
    <s v="Bank Transaction"/>
    <x v="8"/>
  </r>
  <r>
    <n v="5301"/>
    <n v="-5301"/>
    <n v="22973.504559270521"/>
    <m/>
    <s v="Paid By Tapan"/>
    <x v="7"/>
  </r>
  <r>
    <n v="2964"/>
    <n v="-2964"/>
    <n v="20009.504559270521"/>
    <m/>
    <s v="Paid By Tapan"/>
    <x v="7"/>
  </r>
  <r>
    <m/>
    <n v="740"/>
    <n v="20749.504559270521"/>
    <m/>
    <s v="Refund by Vendor"/>
    <x v="12"/>
  </r>
  <r>
    <m/>
    <n v="740"/>
    <n v="21489.504559270521"/>
    <m/>
    <s v="Refund by Vendor"/>
    <x v="12"/>
  </r>
  <r>
    <n v="525"/>
    <n v="-525"/>
    <n v="20964.504559270521"/>
    <m/>
    <s v="Paid By Tapan"/>
    <x v="2"/>
  </r>
  <r>
    <n v="210"/>
    <n v="-210"/>
    <n v="20754.504559270521"/>
    <m/>
    <s v="Paid By Tapan"/>
    <x v="1"/>
  </r>
  <r>
    <n v="3325.29"/>
    <n v="-3325.29"/>
    <n v="17429.21455927052"/>
    <m/>
    <s v="Paid By Tapan"/>
    <x v="7"/>
  </r>
  <r>
    <m/>
    <n v="71010"/>
    <n v="88439.21455927052"/>
    <m/>
    <s v="Paid By Amal"/>
    <x v="5"/>
  </r>
  <r>
    <n v="2360"/>
    <n v="-2360"/>
    <n v="86079.21455927052"/>
    <m/>
    <s v="Paid By Tapan"/>
    <x v="4"/>
  </r>
  <r>
    <n v="29.5"/>
    <n v="-29.5"/>
    <n v="86049.71455927052"/>
    <m/>
    <s v="Bank Transaction"/>
    <x v="8"/>
  </r>
  <r>
    <n v="29.5"/>
    <n v="-29.5"/>
    <n v="86020.21455927052"/>
    <m/>
    <s v="Bank Transaction"/>
    <x v="8"/>
  </r>
  <r>
    <n v="7771.53"/>
    <n v="-7771.53"/>
    <n v="78248.684559270521"/>
    <m/>
    <s v="Paid By Tapan"/>
    <x v="6"/>
  </r>
  <r>
    <n v="196"/>
    <n v="-196"/>
    <n v="78052.684559270521"/>
    <m/>
    <s v="Bank Transaction"/>
    <x v="1"/>
  </r>
  <r>
    <n v="192"/>
    <n v="-192"/>
    <n v="77860.684559270521"/>
    <m/>
    <s v="Bank Transaction"/>
    <x v="1"/>
  </r>
  <r>
    <m/>
    <n v="115"/>
    <n v="77975.684559270521"/>
    <m/>
    <s v="Bank Transaction"/>
    <x v="8"/>
  </r>
  <r>
    <n v="220"/>
    <n v="-220"/>
    <n v="77755.684559270521"/>
    <m/>
    <s v="Paid By Tapan"/>
    <x v="1"/>
  </r>
  <r>
    <n v="17600"/>
    <n v="-17600"/>
    <n v="60155.684559270521"/>
    <m/>
    <s v="Paid By Tapan"/>
    <x v="10"/>
  </r>
  <r>
    <n v="10000"/>
    <n v="-10000"/>
    <n v="50155.684559270521"/>
    <m/>
    <s v="Paid By Tapan"/>
    <x v="10"/>
  </r>
  <r>
    <n v="6400"/>
    <n v="-6400"/>
    <n v="43755.684559270521"/>
    <m/>
    <s v="Paid By Tapan"/>
    <x v="10"/>
  </r>
  <r>
    <n v="2467"/>
    <n v="-2467"/>
    <n v="41288.684559270521"/>
    <m/>
    <s v="Paid By Tapan"/>
    <x v="10"/>
  </r>
  <r>
    <n v="9725"/>
    <n v="-9725"/>
    <n v="31563.684559270521"/>
    <m/>
    <s v="Paid By Tapan"/>
    <x v="10"/>
  </r>
  <r>
    <n v="1200"/>
    <n v="-1200"/>
    <n v="30363.684559270521"/>
    <m/>
    <s v="Paid By Tapan"/>
    <x v="10"/>
  </r>
  <r>
    <n v="3698"/>
    <n v="-3698"/>
    <n v="26665.684559270521"/>
    <m/>
    <s v="Paid By Tapan"/>
    <x v="12"/>
  </r>
  <r>
    <n v="1000"/>
    <n v="-1000"/>
    <n v="25665.684559270521"/>
    <m/>
    <s v="Paid By Tapan"/>
    <x v="1"/>
  </r>
  <r>
    <n v="2360"/>
    <n v="-2360"/>
    <n v="23305.684559270521"/>
    <m/>
    <s v="Paid By Tapan"/>
    <x v="4"/>
  </r>
  <r>
    <m/>
    <n v="151189"/>
    <n v="174494.68455927051"/>
    <m/>
    <s v="Paid By Amal"/>
    <x v="5"/>
  </r>
  <r>
    <n v="29.5"/>
    <n v="-29.5"/>
    <n v="174465.18455927051"/>
    <m/>
    <s v="Bank Transaction"/>
    <x v="8"/>
  </r>
  <r>
    <n v="29.5"/>
    <n v="-29.5"/>
    <n v="174435.68455927051"/>
    <m/>
    <s v="Bank Transaction"/>
    <x v="8"/>
  </r>
  <r>
    <n v="28320"/>
    <n v="-28320"/>
    <n v="146115.68455927051"/>
    <m/>
    <s v="Paid By Tapan"/>
    <x v="10"/>
  </r>
  <r>
    <n v="7424"/>
    <n v="-7424"/>
    <n v="138691.68455927051"/>
    <m/>
    <s v="Paid By Tapan"/>
    <x v="0"/>
  </r>
  <r>
    <n v="14444"/>
    <n v="-14444"/>
    <n v="124247.68455927051"/>
    <m/>
    <s v="Paid By Tapan"/>
    <x v="4"/>
  </r>
  <r>
    <n v="6023.6"/>
    <n v="-6023.6"/>
    <n v="118224.0845592705"/>
    <m/>
    <s v="Paid By Tapan"/>
    <x v="13"/>
  </r>
  <r>
    <n v="3023.6"/>
    <n v="-3023.6"/>
    <n v="115200.4845592705"/>
    <m/>
    <s v="Paid By Tapan"/>
    <x v="13"/>
  </r>
  <r>
    <n v="815"/>
    <n v="-815"/>
    <n v="114385.4845592705"/>
    <m/>
    <s v="Paid By Tapan"/>
    <x v="12"/>
  </r>
  <r>
    <n v="671"/>
    <n v="-671"/>
    <n v="113714.4845592705"/>
    <m/>
    <s v="Paid By Tapan"/>
    <x v="12"/>
  </r>
  <r>
    <m/>
    <n v="954.5"/>
    <n v="114668.9845592705"/>
    <m/>
    <s v="Paid By Tapan"/>
    <x v="9"/>
  </r>
  <r>
    <n v="17800"/>
    <n v="-17800"/>
    <n v="96868.984559270495"/>
    <m/>
    <s v="Paid By Tapan"/>
    <x v="10"/>
  </r>
  <r>
    <n v="9800"/>
    <n v="-9800"/>
    <n v="87068.984559270495"/>
    <m/>
    <s v="Paid By Tapan"/>
    <x v="10"/>
  </r>
  <r>
    <n v="1800"/>
    <n v="-1800"/>
    <n v="85268.984559270495"/>
    <m/>
    <s v="Paid By Tapan"/>
    <x v="10"/>
  </r>
  <r>
    <n v="2200"/>
    <n v="-2200"/>
    <n v="83068.984559270495"/>
    <m/>
    <s v="Paid By Tapan"/>
    <x v="6"/>
  </r>
  <r>
    <n v="10000"/>
    <n v="-10000"/>
    <n v="73068.984559270495"/>
    <m/>
    <s v="Paid By Tapan"/>
    <x v="10"/>
  </r>
  <r>
    <n v="17800"/>
    <n v="-17800"/>
    <n v="55268.984559270495"/>
    <m/>
    <s v="Paid By Tapan"/>
    <x v="10"/>
  </r>
  <r>
    <n v="19800"/>
    <n v="-19800"/>
    <n v="35468.984559270495"/>
    <m/>
    <s v="Paid By Tapan"/>
    <x v="10"/>
  </r>
  <r>
    <m/>
    <n v="73983"/>
    <n v="109451.9845592705"/>
    <m/>
    <s v="Paid By Amal"/>
    <x v="5"/>
  </r>
  <r>
    <n v="52"/>
    <n v="-52"/>
    <n v="109399.9845592705"/>
    <m/>
    <s v="Paid By Tapan"/>
    <x v="7"/>
  </r>
  <r>
    <n v="30000"/>
    <n v="-30000"/>
    <n v="79399.984559270495"/>
    <m/>
    <s v="Paid By Tapan"/>
    <x v="6"/>
  </r>
  <r>
    <n v="2964"/>
    <n v="-2964"/>
    <n v="76435.984559270495"/>
    <m/>
    <s v="Paid By Tapan"/>
    <x v="7"/>
  </r>
  <r>
    <n v="2500"/>
    <n v="-2500"/>
    <n v="73935.984559270495"/>
    <m/>
    <s v="Paid By Tapan"/>
    <x v="7"/>
  </r>
  <r>
    <n v="3523.6"/>
    <n v="-3523.6"/>
    <n v="70412.384559270489"/>
    <m/>
    <s v="Paid By Tapan"/>
    <x v="2"/>
  </r>
  <r>
    <n v="9650"/>
    <n v="-9650"/>
    <n v="60762.384559270489"/>
    <m/>
    <s v="Paid By Tapan"/>
    <x v="6"/>
  </r>
  <r>
    <n v="2109.84"/>
    <n v="-2109.84"/>
    <n v="58652.544559270493"/>
    <m/>
    <s v="Paid By Tapan"/>
    <x v="7"/>
  </r>
  <r>
    <n v="13799"/>
    <n v="-13799"/>
    <n v="44853.544559270493"/>
    <m/>
    <s v="Paid By Tapan"/>
    <x v="13"/>
  </r>
  <r>
    <m/>
    <n v="110568"/>
    <n v="155421.54455927049"/>
    <m/>
    <s v="Paid By Amal"/>
    <x v="5"/>
  </r>
  <r>
    <n v="50"/>
    <n v="-50"/>
    <n v="155371.54455927049"/>
    <m/>
    <s v="Paid By Tapan"/>
    <x v="7"/>
  </r>
  <r>
    <n v="1525"/>
    <n v="-1525"/>
    <n v="153846.54455927049"/>
    <m/>
    <s v="Paid By Tapan"/>
    <x v="1"/>
  </r>
  <r>
    <m/>
    <n v="150865"/>
    <n v="304711.54455927049"/>
    <m/>
    <s v="Paid By Amal"/>
    <x v="5"/>
  </r>
  <r>
    <n v="3490"/>
    <n v="-3490"/>
    <n v="301221.54455927049"/>
    <m/>
    <s v="Paid By Tapan"/>
    <x v="6"/>
  </r>
  <r>
    <n v="2360"/>
    <n v="-2360"/>
    <n v="298861.54455927049"/>
    <m/>
    <s v="Paid By Tapan"/>
    <x v="4"/>
  </r>
  <r>
    <n v="1225"/>
    <n v="-1225"/>
    <n v="297636.54455927049"/>
    <m/>
    <s v="Paid By Tapan"/>
    <x v="12"/>
  </r>
  <r>
    <n v="1107"/>
    <n v="-1107"/>
    <n v="296529.54455927049"/>
    <m/>
    <s v="Paid By Tapan"/>
    <x v="12"/>
  </r>
  <r>
    <n v="3698"/>
    <n v="-3698"/>
    <n v="292831.54455927049"/>
    <m/>
    <s v="Paid By Tapan"/>
    <x v="6"/>
  </r>
  <r>
    <n v="6100"/>
    <n v="-6100"/>
    <n v="286731.54455927049"/>
    <m/>
    <s v="Paid By Tapan"/>
    <x v="6"/>
  </r>
  <r>
    <n v="3889"/>
    <n v="-3889"/>
    <n v="282842.54455927049"/>
    <m/>
    <s v="Paid By Tapan"/>
    <x v="7"/>
  </r>
  <r>
    <n v="1200"/>
    <n v="-1200"/>
    <n v="281642.54455927049"/>
    <m/>
    <s v="Paid By Tapan"/>
    <x v="1"/>
  </r>
  <r>
    <n v="10000"/>
    <n v="-10000"/>
    <n v="271642.54455927049"/>
    <m/>
    <s v="Paid By Tapan"/>
    <x v="7"/>
  </r>
  <r>
    <n v="2990"/>
    <n v="-2990"/>
    <n v="268652.54455927049"/>
    <m/>
    <s v="Paid By Tapan"/>
    <x v="6"/>
  </r>
  <r>
    <n v="29.5"/>
    <n v="-29.5"/>
    <n v="268623.04455927049"/>
    <m/>
    <s v="Bank Transaction"/>
    <x v="8"/>
  </r>
  <r>
    <n v="29.5"/>
    <n v="-29.5"/>
    <n v="258327.54455927049"/>
    <m/>
    <s v="Bank Transaction"/>
    <x v="8"/>
  </r>
  <r>
    <n v="10266"/>
    <n v="-10266"/>
    <n v="258357.04455927049"/>
    <m/>
    <s v="Paid By Tapan"/>
    <x v="2"/>
  </r>
  <r>
    <n v="53079"/>
    <n v="-53079"/>
    <n v="205278.04455927049"/>
    <m/>
    <s v="Paid By Tapan"/>
    <x v="10"/>
  </r>
  <r>
    <n v="395"/>
    <n v="-395"/>
    <n v="204883.04455927049"/>
    <m/>
    <s v="Paid By Tapan"/>
    <x v="12"/>
  </r>
  <r>
    <m/>
    <n v="150461"/>
    <n v="355344.04455927049"/>
    <m/>
    <s v="Paid By Amal"/>
    <x v="5"/>
  </r>
  <r>
    <m/>
    <n v="74922"/>
    <n v="430266.04455927049"/>
    <m/>
    <s v="Paid By Amal"/>
    <x v="5"/>
  </r>
  <r>
    <n v="2875"/>
    <n v="-2875"/>
    <n v="427391.04455927049"/>
    <m/>
    <s v="Paid By Tapan"/>
    <x v="14"/>
  </r>
  <r>
    <n v="15000"/>
    <n v="-15000"/>
    <n v="412391.04455927049"/>
    <m/>
    <s v="Paid By Tapan"/>
    <x v="7"/>
  </r>
  <r>
    <n v="17800"/>
    <n v="-17800"/>
    <n v="394591.04455927049"/>
    <m/>
    <s v="Paid By Tapan"/>
    <x v="10"/>
  </r>
  <r>
    <n v="9800"/>
    <n v="-9800"/>
    <n v="384791.04455927049"/>
    <m/>
    <s v="Paid By Tapan"/>
    <x v="10"/>
  </r>
  <r>
    <n v="10000"/>
    <n v="-10000"/>
    <n v="374791.04455927049"/>
    <m/>
    <s v="Paid By Tapan"/>
    <x v="10"/>
  </r>
  <r>
    <n v="17800"/>
    <n v="-17800"/>
    <n v="356991.04455927049"/>
    <m/>
    <s v="Paid By Tapan"/>
    <x v="10"/>
  </r>
  <r>
    <n v="19800"/>
    <n v="-19800"/>
    <n v="337191.04455927049"/>
    <m/>
    <s v="Paid By Tapan"/>
    <x v="10"/>
  </r>
  <r>
    <n v="12300"/>
    <n v="-12300"/>
    <n v="324891.04455927049"/>
    <m/>
    <s v="Paid By Tapan"/>
    <x v="10"/>
  </r>
  <r>
    <n v="13800"/>
    <n v="-13800"/>
    <n v="311091.04455927049"/>
    <m/>
    <s v="Paid By Tapan"/>
    <x v="10"/>
  </r>
  <r>
    <n v="15000"/>
    <n v="-15000"/>
    <n v="296091.04455927049"/>
    <m/>
    <s v="Paid By Tapan"/>
    <x v="10"/>
  </r>
  <r>
    <n v="5667"/>
    <n v="-5667"/>
    <n v="290424.04455927049"/>
    <m/>
    <s v="Paid By Tapan"/>
    <x v="10"/>
  </r>
  <r>
    <n v="6400"/>
    <n v="-6400"/>
    <n v="284024.04455927049"/>
    <m/>
    <s v="Paid By Tapan"/>
    <x v="10"/>
  </r>
  <r>
    <n v="1200"/>
    <n v="-1200"/>
    <n v="282824.04455927049"/>
    <m/>
    <s v="Paid By Tapan"/>
    <x v="10"/>
  </r>
  <r>
    <n v="250"/>
    <n v="-250"/>
    <n v="282574.04455927049"/>
    <m/>
    <s v="Paid By Tapan"/>
    <x v="1"/>
  </r>
  <r>
    <n v="544"/>
    <n v="-544"/>
    <n v="282030.04455927049"/>
    <m/>
    <s v="Paid By Tapan"/>
    <x v="12"/>
  </r>
  <r>
    <n v="2549"/>
    <n v="-2549"/>
    <n v="279481.04455927049"/>
    <m/>
    <s v="Paid By Tapan"/>
    <x v="1"/>
  </r>
  <r>
    <n v="8217"/>
    <n v="-8217"/>
    <n v="271264.04455927049"/>
    <m/>
    <s v="Paid By Tapan"/>
    <x v="12"/>
  </r>
  <r>
    <n v="348"/>
    <n v="-348"/>
    <n v="270916.04455927049"/>
    <m/>
    <s v="Paid By Tapan"/>
    <x v="12"/>
  </r>
  <r>
    <n v="2181"/>
    <n v="-2181"/>
    <n v="268735.04455927049"/>
    <m/>
    <s v="Paid By Tapan"/>
    <x v="12"/>
  </r>
  <r>
    <n v="33670"/>
    <n v="-33670"/>
    <n v="235065.04455927049"/>
    <m/>
    <s v="Paid By Tapan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B2:C15" firstHeaderRow="1" firstDataRow="1" firstDataCol="1"/>
  <pivotFields count="6">
    <pivotField dataField="1" multipleItemSelectionAllowed="1" showAll="0"/>
    <pivotField numFmtId="43" showAll="0"/>
    <pivotField showAll="0"/>
    <pivotField showAll="0"/>
    <pivotField showAll="0"/>
    <pivotField axis="axisRow" multipleItemSelectionAllowed="1" showAll="0" sortType="ascending">
      <items count="16">
        <item x="8"/>
        <item x="4"/>
        <item x="11"/>
        <item x="6"/>
        <item x="2"/>
        <item h="1" x="5"/>
        <item h="1" x="9"/>
        <item x="13"/>
        <item x="0"/>
        <item x="3"/>
        <item x="12"/>
        <item x="10"/>
        <item x="7"/>
        <item x="1"/>
        <item h="1" x="14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ebit" fld="0" baseField="5" baseItem="0" numFmtId="43"/>
  </dataFields>
  <formats count="2">
    <format dxfId="53">
      <pivotArea outline="0" collapsedLevelsAreSubtotals="1" fieldPosition="0"/>
    </format>
    <format dxfId="5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B18:C39" firstHeaderRow="1" firstDataRow="1" firstDataCol="1"/>
  <pivotFields count="2">
    <pivotField axis="axisRow" numFmtId="165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redit" fld="1" baseField="0" baseItem="0" numFmtId="43"/>
  </dataFields>
  <formats count="2">
    <format dxfId="55">
      <pivotArea outline="0" collapsedLevelsAreSubtotals="1" fieldPosition="0"/>
    </format>
    <format dxfId="5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4" name="Table2" displayName="Table2" ref="B2:S63" totalsRowCount="1" headerRowDxfId="354" dataDxfId="353" totalsRowDxfId="352" dataCellStyle="Comma">
  <tableColumns count="18">
    <tableColumn id="1" name="Expense Heads" totalsRowLabel="Total Cost INR" dataDxfId="351" totalsRowDxfId="17"/>
    <tableColumn id="2" name="Quantity" dataDxfId="350" totalsRowDxfId="16" dataCellStyle="Comma"/>
    <tableColumn id="3" name="CTC" dataDxfId="349" totalsRowDxfId="15" dataCellStyle="Comma"/>
    <tableColumn id="4" name="Apr-17" totalsRowFunction="custom" dataDxfId="348" totalsRowDxfId="14" dataCellStyle="Comma">
      <totalsRowFormula>E3+E7+E19+E54</totalsRowFormula>
    </tableColumn>
    <tableColumn id="5" name="May-17" totalsRowFunction="custom" dataDxfId="347" totalsRowDxfId="13" dataCellStyle="Comma">
      <totalsRowFormula>F3+F7+F19+F54</totalsRowFormula>
    </tableColumn>
    <tableColumn id="6" name="Jun-17" totalsRowFunction="custom" dataDxfId="346" totalsRowDxfId="12" dataCellStyle="Comma">
      <totalsRowFormula>G3+G7+G19+G54</totalsRowFormula>
    </tableColumn>
    <tableColumn id="7" name="Jul-17" totalsRowFunction="custom" dataDxfId="345" totalsRowDxfId="11" dataCellStyle="Comma">
      <totalsRowFormula>H3+H7+H19+H54</totalsRowFormula>
    </tableColumn>
    <tableColumn id="8" name="Aug-17" totalsRowFunction="custom" dataDxfId="344" totalsRowDxfId="10" dataCellStyle="Comma">
      <totalsRowFormula>I3+I7+I19+I54</totalsRowFormula>
    </tableColumn>
    <tableColumn id="9" name="Sep-17" totalsRowFunction="custom" dataDxfId="343" totalsRowDxfId="9" dataCellStyle="Comma">
      <totalsRowFormula>J3+J7+J19+J54</totalsRowFormula>
    </tableColumn>
    <tableColumn id="10" name="Oct-17" totalsRowFunction="custom" dataDxfId="342" totalsRowDxfId="8" dataCellStyle="Comma">
      <totalsRowFormula>K3+K7+K19+K54</totalsRowFormula>
    </tableColumn>
    <tableColumn id="11" name="Nov-17" totalsRowFunction="custom" dataDxfId="341" totalsRowDxfId="7" dataCellStyle="Comma">
      <totalsRowFormula>L3+L7+L19+L54</totalsRowFormula>
    </tableColumn>
    <tableColumn id="12" name="Dec-17" totalsRowFunction="custom" dataDxfId="340" totalsRowDxfId="6" dataCellStyle="Comma">
      <totalsRowFormula>M3+M7+M19+M54</totalsRowFormula>
    </tableColumn>
    <tableColumn id="13" name="Jan-17" totalsRowFunction="custom" dataDxfId="339" totalsRowDxfId="5" dataCellStyle="Comma">
      <totalsRowFormula>N3+N7+N19+N54</totalsRowFormula>
    </tableColumn>
    <tableColumn id="14" name="Feb-17" totalsRowFunction="custom" dataDxfId="338" totalsRowDxfId="4" dataCellStyle="Comma">
      <totalsRowFormula>O3+O7+O19+O54</totalsRowFormula>
    </tableColumn>
    <tableColumn id="15" name="Mar-17" totalsRowFunction="custom" dataDxfId="337" totalsRowDxfId="3" dataCellStyle="Comma">
      <totalsRowFormula>P3+P7+P19+P54</totalsRowFormula>
    </tableColumn>
    <tableColumn id="16" name="Total" totalsRowFunction="sum" dataDxfId="336" totalsRowDxfId="2" dataCellStyle="Comma"/>
    <tableColumn id="17" name="USD" totalsRowFunction="custom" dataDxfId="335" totalsRowDxfId="1" dataCellStyle="Comma">
      <totalsRowFormula>Table2[[#Totals],[Total]]/E68</totalsRowFormula>
    </tableColumn>
    <tableColumn id="18" name="Euro" totalsRowFunction="sum" dataDxfId="334" totalsRowDxfId="0" dataCellStyle="Comma">
      <calculatedColumnFormula>Table2[[#This Row],[USD]]*$C$68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6" name="Table16810" displayName="Table16810" ref="B25:G34" totalsRowCount="1" headerRowDxfId="180" dataDxfId="178" totalsRowDxfId="176" headerRowBorderDxfId="179" tableBorderDxfId="177" totalsRowBorderDxfId="175">
  <tableColumns count="6">
    <tableColumn id="1" name="Sr. No." dataDxfId="174" totalsRowDxfId="173"/>
    <tableColumn id="2" name="Miscellaneous" dataDxfId="172" totalsRowDxfId="171"/>
    <tableColumn id="6" name="Date" totalsRowLabel="Total" dataDxfId="170" totalsRowDxfId="169"/>
    <tableColumn id="3" name="Credit" totalsRowFunction="custom" dataDxfId="168" totalsRowDxfId="167" dataCellStyle="Comma">
      <totalsRowFormula>SUBTOTAL(109,E26:E33)</totalsRowFormula>
    </tableColumn>
    <tableColumn id="4" name="Debit" totalsRowFunction="custom" dataDxfId="166" totalsRowDxfId="165" dataCellStyle="Comma">
      <totalsRowFormula>SUBTOTAL(109,F26:F33)</totalsRowFormula>
    </tableColumn>
    <tableColumn id="5" name="Pending" totalsRowFunction="sum" dataDxfId="164" totalsRowDxfId="163" dataCellStyle="Comma">
      <calculatedColumnFormula>E26-F26</calculatedColumnFormula>
    </tableColumn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7" name="Table10" displayName="Table10" ref="J8:N34" totalsRowCount="1" headerRowDxfId="162" dataDxfId="161" totalsRowDxfId="160">
  <autoFilter ref="J8:N33"/>
  <tableColumns count="5">
    <tableColumn id="9" name="Date" dataDxfId="159" totalsRowDxfId="158"/>
    <tableColumn id="1" name="Material" totalsRowLabel="Total" dataDxfId="157" totalsRowDxfId="156"/>
    <tableColumn id="2" name="Qty" dataDxfId="155" totalsRowDxfId="154" dataCellStyle="Comma"/>
    <tableColumn id="3" name="Cost" dataDxfId="153" totalsRowDxfId="152" dataCellStyle="Comma"/>
    <tableColumn id="4" name="Amount" totalsRowFunction="custom" dataDxfId="151" totalsRowDxfId="150" dataCellStyle="Comma">
      <totalsRowFormula>N18+N26+N33</totalsRow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8" name="Table11" displayName="Table11" ref="J37:N42" totalsRowCount="1" headerRowDxfId="149" dataDxfId="147" totalsRowDxfId="145" headerRowBorderDxfId="148" tableBorderDxfId="146" totalsRowBorderDxfId="144">
  <autoFilter ref="J37:N41"/>
  <tableColumns count="5">
    <tableColumn id="1" name="Date" dataDxfId="143" totalsRowDxfId="142"/>
    <tableColumn id="2" name="Labour" dataDxfId="141" totalsRowDxfId="140"/>
    <tableColumn id="3" name="Qty" dataDxfId="139" totalsRowDxfId="138" dataCellStyle="Comma"/>
    <tableColumn id="4" name="Cost" dataDxfId="137" totalsRowDxfId="136" dataCellStyle="Comma"/>
    <tableColumn id="5" name="Amount" totalsRowFunction="sum" dataDxfId="135" totalsRowDxfId="134" dataCellStyle="Comma">
      <calculatedColumnFormula>L38*M38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6" name="Table168101617" displayName="Table168101617" ref="B36:G46" totalsRowCount="1" headerRowDxfId="133" dataDxfId="131" totalsRowDxfId="129" headerRowBorderDxfId="132" tableBorderDxfId="130" totalsRowBorderDxfId="128">
  <tableColumns count="6">
    <tableColumn id="1" name="Sr. No." dataDxfId="127" totalsRowDxfId="126"/>
    <tableColumn id="2" name="Miscellaneous" dataDxfId="125" totalsRowDxfId="124"/>
    <tableColumn id="6" name="Date" totalsRowLabel="Total" dataDxfId="123" totalsRowDxfId="122"/>
    <tableColumn id="3" name="Credit" totalsRowFunction="custom" dataDxfId="121" totalsRowDxfId="120" dataCellStyle="Comma">
      <totalsRowFormula>SUBTOTAL(109,E37:E45)</totalsRowFormula>
    </tableColumn>
    <tableColumn id="4" name="Debit" totalsRowFunction="custom" dataDxfId="119" totalsRowDxfId="118" dataCellStyle="Comma">
      <totalsRowFormula>SUBTOTAL(109,F37:F45)</totalsRowFormula>
    </tableColumn>
    <tableColumn id="5" name="Pending" totalsRowFunction="sum" dataDxfId="117" totalsRowDxfId="116" dataCellStyle="Comma">
      <calculatedColumnFormula>E37-F37</calculatedColumnFormula>
    </tableColumn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id="15" name="Table16810161716" displayName="Table16810161716" ref="B48:G55" totalsRowCount="1" headerRowDxfId="115" dataDxfId="113" totalsRowDxfId="111" headerRowBorderDxfId="114" tableBorderDxfId="112" totalsRowBorderDxfId="110">
  <tableColumns count="6">
    <tableColumn id="1" name="Sr. No." dataDxfId="109" totalsRowDxfId="108"/>
    <tableColumn id="2" name="Miscellaneous" dataDxfId="107" totalsRowDxfId="106"/>
    <tableColumn id="6" name="Date" totalsRowLabel="Total" dataDxfId="105" totalsRowDxfId="104"/>
    <tableColumn id="3" name="Credit" totalsRowFunction="custom" dataDxfId="103" totalsRowDxfId="102" dataCellStyle="Comma">
      <totalsRowFormula>SUBTOTAL(109,E49:E54)</totalsRowFormula>
    </tableColumn>
    <tableColumn id="4" name="Debit" totalsRowFunction="custom" dataDxfId="101" totalsRowDxfId="100" dataCellStyle="Comma">
      <totalsRowFormula>SUBTOTAL(109,F49:F54)</totalsRowFormula>
    </tableColumn>
    <tableColumn id="5" name="Pending" totalsRowFunction="sum" dataDxfId="99" totalsRowDxfId="98" dataCellStyle="Comma">
      <calculatedColumnFormula>E49-F49</calculatedColumnFormula>
    </tableColumn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J48:N55" totalsRowCount="1" headerRowDxfId="97" dataDxfId="95" totalsRowDxfId="93" headerRowBorderDxfId="96" tableBorderDxfId="94" totalsRowBorderDxfId="92">
  <autoFilter ref="J48:N54"/>
  <tableColumns count="5">
    <tableColumn id="1" name="Date" dataDxfId="91" totalsRowDxfId="90"/>
    <tableColumn id="2" name="Material" dataDxfId="89" totalsRowDxfId="88"/>
    <tableColumn id="3" name="Qty" dataDxfId="87" totalsRowDxfId="86" dataCellStyle="Comma"/>
    <tableColumn id="4" name="Cost" dataDxfId="85" totalsRowDxfId="84" dataCellStyle="Comma"/>
    <tableColumn id="5" name="Amount" totalsRowFunction="sum" dataDxfId="83" totalsRowDxfId="82" dataCellStyle="Comma">
      <calculatedColumnFormula>L49*M49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0" name="Table12" displayName="Table12" ref="P2:R8" totalsRowCount="1" headerRowDxfId="81" dataDxfId="80">
  <tableColumns count="3">
    <tableColumn id="1" name="Date" dataDxfId="79" totalsRowDxfId="78"/>
    <tableColumn id="2" name="Amount" totalsRowFunction="sum" dataDxfId="77" totalsRowDxfId="76" dataCellStyle="Comma"/>
    <tableColumn id="3" name="Pending" totalsRowFunction="sum" dataDxfId="75" totalsRowDxfId="74" dataCellStyle="Comma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2" name="Table1681016171613" displayName="Table1681016171613" ref="B57:G66" totalsRowCount="1" headerRowDxfId="73" dataDxfId="71" totalsRowDxfId="69" headerRowBorderDxfId="72" tableBorderDxfId="70" totalsRowBorderDxfId="68">
  <tableColumns count="6">
    <tableColumn id="1" name="Sr. No." dataDxfId="67" totalsRowDxfId="66"/>
    <tableColumn id="2" name="Miscellaneous" dataDxfId="65" totalsRowDxfId="64"/>
    <tableColumn id="6" name="Date" totalsRowLabel="Total" dataDxfId="63" totalsRowDxfId="62"/>
    <tableColumn id="3" name="Credit" totalsRowFunction="custom" dataDxfId="61" totalsRowDxfId="60" dataCellStyle="Comma">
      <totalsRowFormula>SUBTOTAL(109,E58:E65)</totalsRowFormula>
    </tableColumn>
    <tableColumn id="4" name="Debit" totalsRowFunction="custom" dataDxfId="59" totalsRowDxfId="58" dataCellStyle="Comma">
      <totalsRowFormula>SUBTOTAL(109,F58:F65)</totalsRowFormula>
    </tableColumn>
    <tableColumn id="5" name="Pending" totalsRowFunction="sum" dataDxfId="57" totalsRowDxfId="56" dataCellStyle="Comma">
      <calculatedColumnFormula>E58-F58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1" name="Table13" displayName="Table13" ref="B2:F12" totalsRowCount="1">
  <autoFilter ref="B2:F11"/>
  <tableColumns count="5">
    <tableColumn id="1" name="Month" dataDxfId="333" totalsRowDxfId="332"/>
    <tableColumn id="2" name="Amount"/>
    <tableColumn id="3" name="Total amount"/>
    <tableColumn id="4" name="Actual Paid"/>
    <tableColumn id="5" name="Overcharge" totalsRowFunction="sum" dataDxfId="331" totalsRowDxfId="330">
      <calculatedColumnFormula>Table13[[#This Row],[Actual Paid]]-Table13[[#This Row],[Total amount]]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547" displayName="Table547" ref="B5:P22" totalsRowCount="1" headerRowDxfId="329" dataDxfId="327" totalsRowDxfId="325" headerRowBorderDxfId="328" tableBorderDxfId="326" totalsRowBorderDxfId="324">
  <sortState ref="B6:P8">
    <sortCondition ref="F5:F8"/>
  </sortState>
  <tableColumns count="15">
    <tableColumn id="1" name="Sr. No." dataDxfId="323" totalsRowDxfId="322"/>
    <tableColumn id="15" name="Company" dataDxfId="321" totalsRowDxfId="320"/>
    <tableColumn id="2" name="Expense Head" dataDxfId="319" totalsRowDxfId="318"/>
    <tableColumn id="7" name="Date" dataDxfId="317" totalsRowDxfId="316"/>
    <tableColumn id="8" name="USD" totalsRowFunction="sum" dataDxfId="315" totalsRowDxfId="314" dataCellStyle="Comma"/>
    <tableColumn id="11" name="Euro" totalsRowFunction="sum" dataDxfId="313" totalsRowDxfId="312" dataCellStyle="Comma"/>
    <tableColumn id="9" name="Con. Rate" dataDxfId="311" totalsRowDxfId="310" dataCellStyle="Comma">
      <calculatedColumnFormula>Table547[[#This Row],[Credit]]/Table547[[#This Row],[USD]]</calculatedColumnFormula>
    </tableColumn>
    <tableColumn id="12" name="Transfer Crg_x000a_(Euro)" totalsRowFunction="sum" dataDxfId="309" totalsRowDxfId="308" dataCellStyle="Comma"/>
    <tableColumn id="3" name="Credit" totalsRowFunction="custom" dataDxfId="307" totalsRowDxfId="306" dataCellStyle="Comma">
      <totalsRowFormula>SUBTOTAL(109,J6:J21)</totalsRowFormula>
    </tableColumn>
    <tableColumn id="4" name="Debit" totalsRowFunction="sum" dataDxfId="305" totalsRowDxfId="304" dataCellStyle="Comma"/>
    <tableColumn id="5" name="Difference" totalsRowFunction="custom" dataDxfId="303" totalsRowDxfId="302" dataCellStyle="Comma">
      <calculatedColumnFormula>Table54[[#This Row],[Credit]]-Table54[[#This Row],[Debit]]</calculatedColumnFormula>
      <totalsRowFormula>SUBTOTAL(109,L6:L21)</totalsRowFormula>
    </tableColumn>
    <tableColumn id="13" name="Running _x000a_Balance" dataDxfId="301" totalsRowDxfId="300" dataCellStyle="Comma">
      <calculatedColumnFormula>Table547[[#This Row],[Difference]]</calculatedColumnFormula>
    </tableColumn>
    <tableColumn id="6" name="Estimate" dataDxfId="299" totalsRowDxfId="298" dataCellStyle="Comma"/>
    <tableColumn id="10" name="Comments" dataDxfId="297" totalsRowDxfId="296" dataCellStyle="Comma"/>
    <tableColumn id="14" name="Category" dataDxfId="295" totalsRowDxfId="2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545" displayName="Table545" ref="B5:Q215" totalsRowCount="1" headerRowDxfId="293" dataDxfId="291" totalsRowDxfId="289" headerRowBorderDxfId="292" tableBorderDxfId="290" totalsRowBorderDxfId="288">
  <sortState ref="B6:Q173">
    <sortCondition ref="E5"/>
  </sortState>
  <tableColumns count="16">
    <tableColumn id="1" name="Sr. No." dataDxfId="287" totalsRowDxfId="33"/>
    <tableColumn id="15" name="Company" dataDxfId="286" totalsRowDxfId="32"/>
    <tableColumn id="2" name="Expense Head" dataDxfId="285" totalsRowDxfId="31"/>
    <tableColumn id="7" name="Date" dataDxfId="284" totalsRowDxfId="30"/>
    <tableColumn id="8" name="USD" dataDxfId="283" totalsRowDxfId="29" dataCellStyle="Comma"/>
    <tableColumn id="11" name="Euro" dataDxfId="282" totalsRowDxfId="28" dataCellStyle="Comma"/>
    <tableColumn id="9" name="Con. Rate" dataDxfId="281" totalsRowDxfId="27" dataCellStyle="Comma"/>
    <tableColumn id="12" name="Transfer Crg_x000a_(Euro)" dataDxfId="280" totalsRowDxfId="26" dataCellStyle="Comma"/>
    <tableColumn id="3" name="Credit" totalsRowFunction="sum" dataDxfId="279" totalsRowDxfId="25" dataCellStyle="Comma"/>
    <tableColumn id="4" name="Debit" totalsRowFunction="sum" dataDxfId="278" totalsRowDxfId="24" dataCellStyle="Comma"/>
    <tableColumn id="5" name="Difference" totalsRowFunction="sum" dataDxfId="277" totalsRowDxfId="23" dataCellStyle="Comma"/>
    <tableColumn id="13" name="Running _x000a_Balance" dataDxfId="276" totalsRowDxfId="22" dataCellStyle="Comma"/>
    <tableColumn id="6" name="Estimate" dataDxfId="275" totalsRowDxfId="21" dataCellStyle="Comma"/>
    <tableColumn id="10" name="Comments" dataDxfId="274" totalsRowDxfId="20" dataCellStyle="Comma"/>
    <tableColumn id="14" name="Category" dataDxfId="273" totalsRowDxfId="19"/>
    <tableColumn id="16" name="Action Comments" dataDxfId="272" totalsRow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54" displayName="Table54" ref="C5:T231" totalsRowCount="1" headerRowDxfId="271" dataDxfId="269" totalsRowDxfId="267" headerRowBorderDxfId="270" tableBorderDxfId="268" totalsRowBorderDxfId="266">
  <autoFilter ref="C5:T230">
    <filterColumn colId="3">
      <filters calendarType="gregorian">
        <dateGroupItem year="2017" month="12" dateTimeGrouping="month"/>
      </filters>
    </filterColumn>
    <filterColumn colId="14">
      <filters>
        <filter val="Infrastructure"/>
      </filters>
    </filterColumn>
  </autoFilter>
  <sortState ref="C6:T189">
    <sortCondition ref="F6"/>
  </sortState>
  <tableColumns count="18">
    <tableColumn id="1" name="Sr. No." dataDxfId="265" totalsRowDxfId="51"/>
    <tableColumn id="15" name="Company" totalsRowDxfId="50"/>
    <tableColumn id="2" name="Expense Head" dataDxfId="264" totalsRowDxfId="49"/>
    <tableColumn id="7" name="Date" dataDxfId="263" totalsRowDxfId="48"/>
    <tableColumn id="8" name="USD" totalsRowFunction="sum" dataDxfId="262" totalsRowDxfId="47" dataCellStyle="Comma"/>
    <tableColumn id="11" name="Euro" totalsRowFunction="sum" dataDxfId="261" totalsRowDxfId="46" dataCellStyle="Comma"/>
    <tableColumn id="9" name="Con. Rate" dataDxfId="260" totalsRowDxfId="45" dataCellStyle="Comma">
      <calculatedColumnFormula>Table54[[#This Row],[Credit]]/Table54[[#This Row],[USD]]</calculatedColumnFormula>
    </tableColumn>
    <tableColumn id="12" name="Transfer Crg_x000a_(Euro)" totalsRowFunction="sum" dataDxfId="259" totalsRowDxfId="44" dataCellStyle="Comma"/>
    <tableColumn id="3" name="Credit" totalsRowFunction="custom" dataDxfId="258" totalsRowDxfId="43" dataCellStyle="Comma">
      <totalsRowFormula>SUBTOTAL(109,K6:K161)</totalsRowFormula>
    </tableColumn>
    <tableColumn id="4" name="Debit" totalsRowFunction="sum" dataDxfId="257" totalsRowDxfId="42" dataCellStyle="Comma"/>
    <tableColumn id="5" name="Difference" totalsRowFunction="sum" dataDxfId="256" totalsRowDxfId="41" dataCellStyle="Comma">
      <calculatedColumnFormula>Table54[[#This Row],[Credit]]-Table54[[#This Row],[Debit]]</calculatedColumnFormula>
    </tableColumn>
    <tableColumn id="13" name="Running _x000a_Balance" dataDxfId="255" totalsRowDxfId="40" dataCellStyle="Comma"/>
    <tableColumn id="6" name="Estimate" dataDxfId="254" totalsRowDxfId="39" dataCellStyle="Comma"/>
    <tableColumn id="10" name="Comments" dataDxfId="253" totalsRowDxfId="38" dataCellStyle="Comma"/>
    <tableColumn id="14" name="Category" dataDxfId="252" totalsRowDxfId="37"/>
    <tableColumn id="16" name="Action Comments" dataDxfId="251" totalsRowDxfId="36" dataCellStyle="Comma"/>
    <tableColumn id="19" name="Bill No." dataDxfId="250" totalsRowDxfId="35" dataCellStyle="Comma"/>
    <tableColumn id="17" name="Bills" dataDxfId="249" totalsRowDxfId="34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le8" displayName="Table8" ref="F233:I236" totalsRowCount="1" headerRowDxfId="248" dataDxfId="246" totalsRowDxfId="244" headerRowBorderDxfId="247" tableBorderDxfId="245" totalsRowBorderDxfId="243">
  <autoFilter ref="F233:I235"/>
  <tableColumns count="4">
    <tableColumn id="1" name="Heads" dataDxfId="242" totalsRowDxfId="241"/>
    <tableColumn id="2" name="ADSL" totalsRowFunction="custom" dataDxfId="240" totalsRowDxfId="239" dataCellStyle="Comma">
      <totalsRowFormula>G234-G235</totalsRowFormula>
    </tableColumn>
    <tableColumn id="3" name="CBIB" totalsRowFunction="custom" dataDxfId="238" totalsRowDxfId="237" dataCellStyle="Comma">
      <calculatedColumnFormula>Table547[[#Totals],[Difference]]</calculatedColumnFormula>
      <totalsRowFormula>H234-H235</totalsRowFormula>
    </tableColumn>
    <tableColumn id="4" name="Total" totalsRowFunction="custom" dataDxfId="236" totalsRowDxfId="235" dataCellStyle="Comma">
      <calculatedColumnFormula>SUM(G234:H234)</calculatedColumnFormula>
      <totalsRowFormula>I234-I235</totalsRow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3" name="Table1615" displayName="Table1615" ref="B11:G17" totalsRowCount="1" headerRowDxfId="234" dataDxfId="232" totalsRowDxfId="230" headerRowBorderDxfId="233" tableBorderDxfId="231" totalsRowBorderDxfId="229">
  <tableColumns count="6">
    <tableColumn id="1" name="Sr. No." dataDxfId="228" totalsRowDxfId="227"/>
    <tableColumn id="2" name="Miscellaneous" dataDxfId="226" totalsRowDxfId="225"/>
    <tableColumn id="6" name="Date" totalsRowLabel="Total" dataDxfId="224" totalsRowDxfId="223"/>
    <tableColumn id="3" name="Credit" totalsRowFunction="custom" dataDxfId="222" totalsRowDxfId="221" dataCellStyle="Comma">
      <totalsRowFormula>SUBTOTAL(109,E12:E16)</totalsRowFormula>
    </tableColumn>
    <tableColumn id="4" name="Debit" totalsRowFunction="custom" dataDxfId="220" totalsRowDxfId="219" dataCellStyle="Comma">
      <totalsRowFormula>SUBTOTAL(109,F12:F16)</totalsRowFormula>
    </tableColumn>
    <tableColumn id="5" name="Pending" totalsRowFunction="custom" dataDxfId="218" totalsRowDxfId="217" dataCellStyle="Comma">
      <calculatedColumnFormula>E12-F12</calculatedColumnFormula>
      <totalsRowFormula>Table1615[[#Totals],[Credit]]-Table1615[[#Totals],[Debit]]</totalsRow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4" name="Table1610131416" displayName="Table1610131416" ref="B3:G9" totalsRowCount="1" headerRowDxfId="216" dataDxfId="214" totalsRowDxfId="212" headerRowBorderDxfId="215" tableBorderDxfId="213" totalsRowBorderDxfId="211">
  <tableColumns count="6">
    <tableColumn id="1" name="Sr. No." dataDxfId="210" totalsRowDxfId="209"/>
    <tableColumn id="2" name="Miscellaneous" dataDxfId="208" totalsRowDxfId="207"/>
    <tableColumn id="6" name="Date" totalsRowLabel="Total" dataDxfId="206" totalsRowDxfId="205"/>
    <tableColumn id="3" name="Credit" totalsRowFunction="custom" dataDxfId="204" totalsRowDxfId="203" dataCellStyle="Comma">
      <totalsRowFormula>SUBTOTAL(109,E4:E8)</totalsRowFormula>
    </tableColumn>
    <tableColumn id="4" name="Debit" totalsRowFunction="custom" dataDxfId="202" totalsRowDxfId="201" dataCellStyle="Comma">
      <totalsRowFormula>SUBTOTAL(109,F4:F8)</totalsRowFormula>
    </tableColumn>
    <tableColumn id="5" name="Pending" totalsRowFunction="custom" dataDxfId="200" totalsRowDxfId="199" dataCellStyle="Comma">
      <calculatedColumnFormula>E4-F4</calculatedColumnFormula>
      <totalsRowFormula>Table1610131416[[#Totals],[Credit]]-Table1610131416[[#Totals],[Debit]]</totalsRow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5" name="Table16152" displayName="Table16152" ref="B19:G23" totalsRowCount="1" headerRowDxfId="198" dataDxfId="196" totalsRowDxfId="194" headerRowBorderDxfId="197" tableBorderDxfId="195" totalsRowBorderDxfId="193">
  <tableColumns count="6">
    <tableColumn id="1" name="Sr. No." dataDxfId="192" totalsRowDxfId="191"/>
    <tableColumn id="2" name="Miscellaneous" dataDxfId="190" totalsRowDxfId="189"/>
    <tableColumn id="6" name="Date" totalsRowLabel="Total" dataDxfId="188" totalsRowDxfId="187"/>
    <tableColumn id="3" name="Credit" totalsRowFunction="custom" dataDxfId="186" totalsRowDxfId="185" dataCellStyle="Comma">
      <totalsRowFormula>SUBTOTAL(109,E20:E22)</totalsRowFormula>
    </tableColumn>
    <tableColumn id="4" name="Debit" totalsRowFunction="custom" dataDxfId="184" totalsRowDxfId="183" dataCellStyle="Comma">
      <totalsRowFormula>SUBTOTAL(109,F20:F22)</totalsRowFormula>
    </tableColumn>
    <tableColumn id="5" name="Pending" dataDxfId="182" totalsRowDxfId="181" dataCellStyle="Comma">
      <calculatedColumnFormula>E20-F20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68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L59" sqref="F59:L59"/>
    </sheetView>
  </sheetViews>
  <sheetFormatPr defaultColWidth="9.140625" defaultRowHeight="12" x14ac:dyDescent="0.2"/>
  <cols>
    <col min="1" max="1" width="3.28515625" style="1" customWidth="1"/>
    <col min="2" max="2" width="31.28515625" style="1" bestFit="1" customWidth="1"/>
    <col min="3" max="3" width="7.140625" style="1" bestFit="1" customWidth="1"/>
    <col min="4" max="4" width="10.28515625" style="1" bestFit="1" customWidth="1"/>
    <col min="5" max="5" width="10.85546875" style="1" bestFit="1" customWidth="1"/>
    <col min="6" max="7" width="9" style="1" bestFit="1" customWidth="1"/>
    <col min="8" max="11" width="10" style="1" bestFit="1" customWidth="1"/>
    <col min="12" max="16" width="10.28515625" style="1" bestFit="1" customWidth="1"/>
    <col min="17" max="17" width="10.85546875" style="1" bestFit="1" customWidth="1"/>
    <col min="18" max="19" width="9" style="1" bestFit="1" customWidth="1"/>
    <col min="20" max="21" width="9.140625" style="1"/>
    <col min="22" max="22" width="14" style="1" bestFit="1" customWidth="1"/>
    <col min="23" max="16384" width="9.140625" style="1"/>
  </cols>
  <sheetData>
    <row r="1" spans="2:19" ht="15.75" customHeight="1" thickBot="1" x14ac:dyDescent="0.25">
      <c r="E1" s="243" t="s">
        <v>74</v>
      </c>
      <c r="F1" s="244"/>
      <c r="G1" s="244"/>
      <c r="H1" s="244"/>
      <c r="I1" s="244"/>
      <c r="J1" s="244"/>
      <c r="K1" s="244"/>
      <c r="L1" s="244"/>
      <c r="M1" s="245"/>
      <c r="N1" s="240" t="s">
        <v>246</v>
      </c>
      <c r="O1" s="241"/>
      <c r="P1" s="242"/>
    </row>
    <row r="2" spans="2:19" ht="12.75" thickBot="1" x14ac:dyDescent="0.25">
      <c r="B2" s="110" t="s">
        <v>247</v>
      </c>
      <c r="C2" s="111" t="s">
        <v>248</v>
      </c>
      <c r="D2" s="111" t="s">
        <v>249</v>
      </c>
      <c r="E2" s="112" t="s">
        <v>250</v>
      </c>
      <c r="F2" s="112" t="s">
        <v>251</v>
      </c>
      <c r="G2" s="112" t="s">
        <v>252</v>
      </c>
      <c r="H2" s="112" t="s">
        <v>253</v>
      </c>
      <c r="I2" s="112" t="s">
        <v>254</v>
      </c>
      <c r="J2" s="112" t="s">
        <v>255</v>
      </c>
      <c r="K2" s="112" t="s">
        <v>256</v>
      </c>
      <c r="L2" s="112" t="s">
        <v>257</v>
      </c>
      <c r="M2" s="112" t="s">
        <v>258</v>
      </c>
      <c r="N2" s="112" t="s">
        <v>259</v>
      </c>
      <c r="O2" s="112" t="s">
        <v>260</v>
      </c>
      <c r="P2" s="112" t="s">
        <v>261</v>
      </c>
      <c r="Q2" s="113" t="s">
        <v>62</v>
      </c>
      <c r="R2" s="114" t="s">
        <v>10</v>
      </c>
      <c r="S2" s="115" t="s">
        <v>11</v>
      </c>
    </row>
    <row r="3" spans="2:19" x14ac:dyDescent="0.2">
      <c r="B3" s="116" t="s">
        <v>205</v>
      </c>
      <c r="C3" s="117"/>
      <c r="D3" s="117"/>
      <c r="E3" s="117">
        <f t="shared" ref="E3:P3" si="0">SUM(E4:E6)</f>
        <v>314000</v>
      </c>
      <c r="F3" s="117">
        <f t="shared" si="0"/>
        <v>38000</v>
      </c>
      <c r="G3" s="117">
        <f t="shared" si="0"/>
        <v>38000</v>
      </c>
      <c r="H3" s="117">
        <f t="shared" si="0"/>
        <v>38000</v>
      </c>
      <c r="I3" s="117">
        <f t="shared" si="0"/>
        <v>38000</v>
      </c>
      <c r="J3" s="117">
        <f t="shared" si="0"/>
        <v>38000</v>
      </c>
      <c r="K3" s="117">
        <f t="shared" si="0"/>
        <v>38000</v>
      </c>
      <c r="L3" s="117">
        <f t="shared" si="0"/>
        <v>38000</v>
      </c>
      <c r="M3" s="117">
        <f t="shared" si="0"/>
        <v>38000</v>
      </c>
      <c r="N3" s="117">
        <f t="shared" si="0"/>
        <v>38000</v>
      </c>
      <c r="O3" s="117">
        <f t="shared" si="0"/>
        <v>38000</v>
      </c>
      <c r="P3" s="117">
        <f t="shared" si="0"/>
        <v>38000</v>
      </c>
      <c r="Q3" s="118">
        <f>SUM(E3:P3)</f>
        <v>732000</v>
      </c>
      <c r="R3" s="119"/>
      <c r="S3" s="120">
        <f>Table2[[#This Row],[USD]]*$C$68</f>
        <v>0</v>
      </c>
    </row>
    <row r="4" spans="2:19" x14ac:dyDescent="0.2">
      <c r="B4" s="121" t="s">
        <v>206</v>
      </c>
      <c r="C4" s="122"/>
      <c r="D4" s="122"/>
      <c r="E4" s="18">
        <v>38000</v>
      </c>
      <c r="F4" s="18">
        <v>38000</v>
      </c>
      <c r="G4" s="18">
        <v>38000</v>
      </c>
      <c r="H4" s="18">
        <v>38000</v>
      </c>
      <c r="I4" s="18">
        <v>38000</v>
      </c>
      <c r="J4" s="18">
        <v>38000</v>
      </c>
      <c r="K4" s="18">
        <v>38000</v>
      </c>
      <c r="L4" s="18">
        <v>38000</v>
      </c>
      <c r="M4" s="18">
        <v>38000</v>
      </c>
      <c r="N4" s="18">
        <v>38000</v>
      </c>
      <c r="O4" s="18">
        <v>38000</v>
      </c>
      <c r="P4" s="18">
        <v>38000</v>
      </c>
      <c r="Q4" s="30"/>
      <c r="R4" s="30"/>
      <c r="S4" s="123">
        <f>Table2[[#This Row],[USD]]*$C$68</f>
        <v>0</v>
      </c>
    </row>
    <row r="5" spans="2:19" x14ac:dyDescent="0.2">
      <c r="B5" s="121" t="s">
        <v>207</v>
      </c>
      <c r="C5" s="122"/>
      <c r="D5" s="122"/>
      <c r="E5" s="18">
        <v>200000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30"/>
      <c r="R5" s="30"/>
      <c r="S5" s="123">
        <f>Table2[[#This Row],[USD]]*$C$68</f>
        <v>0</v>
      </c>
    </row>
    <row r="6" spans="2:19" x14ac:dyDescent="0.2">
      <c r="B6" s="121" t="s">
        <v>208</v>
      </c>
      <c r="C6" s="122"/>
      <c r="D6" s="122"/>
      <c r="E6" s="18">
        <f>E4*2</f>
        <v>76000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30"/>
      <c r="R6" s="30"/>
      <c r="S6" s="123">
        <f>Table2[[#This Row],[USD]]*$C$68</f>
        <v>0</v>
      </c>
    </row>
    <row r="7" spans="2:19" x14ac:dyDescent="0.2">
      <c r="B7" s="108" t="s">
        <v>209</v>
      </c>
      <c r="C7" s="124">
        <f>SUM(C8:C18)</f>
        <v>11</v>
      </c>
      <c r="D7" s="124"/>
      <c r="E7" s="125">
        <f t="shared" ref="E7:P7" si="1">SUM(E8:E18)</f>
        <v>19966.669999999998</v>
      </c>
      <c r="F7" s="125">
        <f t="shared" si="1"/>
        <v>29200</v>
      </c>
      <c r="G7" s="125">
        <f t="shared" si="1"/>
        <v>19200</v>
      </c>
      <c r="H7" s="125">
        <f t="shared" si="1"/>
        <v>19200</v>
      </c>
      <c r="I7" s="125">
        <f t="shared" si="1"/>
        <v>64688</v>
      </c>
      <c r="J7" s="125">
        <f t="shared" si="1"/>
        <v>48067</v>
      </c>
      <c r="K7" s="125">
        <f t="shared" si="1"/>
        <v>106120</v>
      </c>
      <c r="L7" s="125">
        <f>SUM(L8:L18)</f>
        <v>181253.76000000001</v>
      </c>
      <c r="M7" s="125">
        <f>SUM(M8:M18)</f>
        <v>107200</v>
      </c>
      <c r="N7" s="125">
        <f t="shared" si="1"/>
        <v>130200</v>
      </c>
      <c r="O7" s="125">
        <f t="shared" si="1"/>
        <v>130200</v>
      </c>
      <c r="P7" s="125">
        <f t="shared" si="1"/>
        <v>130200</v>
      </c>
      <c r="Q7" s="125">
        <f>SUM(Table2[[#This Row],[Apr-17]:[Mar-17]])</f>
        <v>985495.42999999993</v>
      </c>
      <c r="R7" s="125">
        <f>Table2[[#This Row],[Total]]/$E$68</f>
        <v>15321.757307213931</v>
      </c>
      <c r="S7" s="126">
        <f>Table2[[#This Row],[USD]]*$C$68</f>
        <v>14402.451868781094</v>
      </c>
    </row>
    <row r="8" spans="2:19" x14ac:dyDescent="0.2">
      <c r="B8" s="121" t="s">
        <v>210</v>
      </c>
      <c r="C8" s="18">
        <v>1</v>
      </c>
      <c r="D8" s="18">
        <v>15000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29">
        <f>$C$8*$D$8*(31-6)/30</f>
        <v>12500</v>
      </c>
      <c r="M8" s="18">
        <f t="shared" ref="M8:P8" si="2">$C$8*$D$8</f>
        <v>15000</v>
      </c>
      <c r="N8" s="18">
        <f t="shared" si="2"/>
        <v>15000</v>
      </c>
      <c r="O8" s="18">
        <f t="shared" si="2"/>
        <v>15000</v>
      </c>
      <c r="P8" s="18">
        <f t="shared" si="2"/>
        <v>15000</v>
      </c>
      <c r="Q8" s="30">
        <f>SUM(Table2[[#This Row],[Apr-17]:[Mar-17]])</f>
        <v>72500</v>
      </c>
      <c r="R8" s="30">
        <f>Table2[[#This Row],[Total]]/$E$68</f>
        <v>1127.176616915423</v>
      </c>
      <c r="S8" s="123">
        <f>Table2[[#This Row],[USD]]*$C$68</f>
        <v>1059.5460199004976</v>
      </c>
    </row>
    <row r="9" spans="2:19" x14ac:dyDescent="0.2">
      <c r="B9" s="121" t="s">
        <v>211</v>
      </c>
      <c r="C9" s="18">
        <v>2</v>
      </c>
      <c r="D9" s="18">
        <v>18000</v>
      </c>
      <c r="E9" s="18">
        <v>6666.67</v>
      </c>
      <c r="F9" s="18">
        <v>10000</v>
      </c>
      <c r="G9" s="18">
        <v>10000</v>
      </c>
      <c r="H9" s="18">
        <v>0</v>
      </c>
      <c r="I9" s="18">
        <v>18000</v>
      </c>
      <c r="J9" s="18">
        <f>18000+6400+2467</f>
        <v>26867</v>
      </c>
      <c r="K9" s="18">
        <f>Table2[[#This Row],[Quantity]]*Table2[[#This Row],[CTC]]</f>
        <v>36000</v>
      </c>
      <c r="L9" s="29">
        <f>Table2[[#This Row],[Quantity]]*Table2[[#This Row],[CTC]]</f>
        <v>36000</v>
      </c>
      <c r="M9" s="18">
        <f>18000+25000</f>
        <v>43000</v>
      </c>
      <c r="N9" s="18">
        <f>Table2[[#This Row],[Quantity]]*Table2[[#This Row],[CTC]]</f>
        <v>36000</v>
      </c>
      <c r="O9" s="18">
        <f>Table2[[#This Row],[Quantity]]*Table2[[#This Row],[CTC]]</f>
        <v>36000</v>
      </c>
      <c r="P9" s="18">
        <f>Table2[[#This Row],[Quantity]]*Table2[[#This Row],[CTC]]</f>
        <v>36000</v>
      </c>
      <c r="Q9" s="30">
        <f>SUM(Table2[[#This Row],[Apr-17]:[Mar-17]])</f>
        <v>294533.67</v>
      </c>
      <c r="R9" s="30">
        <f>Table2[[#This Row],[Total]]/$E$68</f>
        <v>4579.1926305970155</v>
      </c>
      <c r="S9" s="123">
        <f>Table2[[#This Row],[USD]]*$C$68</f>
        <v>4304.4410727611939</v>
      </c>
    </row>
    <row r="10" spans="2:19" x14ac:dyDescent="0.2">
      <c r="B10" s="153" t="s">
        <v>309</v>
      </c>
      <c r="C10" s="29">
        <v>2</v>
      </c>
      <c r="D10" s="29">
        <v>20000</v>
      </c>
      <c r="E10" s="29">
        <f>$C$10*$D$10*0</f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20000</v>
      </c>
      <c r="L10" s="29">
        <f>20000+14000</f>
        <v>34000</v>
      </c>
      <c r="M10" s="29">
        <f>20000</f>
        <v>20000</v>
      </c>
      <c r="N10" s="29">
        <f>20000</f>
        <v>20000</v>
      </c>
      <c r="O10" s="29">
        <f>20000</f>
        <v>20000</v>
      </c>
      <c r="P10" s="29">
        <f>20000</f>
        <v>20000</v>
      </c>
      <c r="Q10" s="30">
        <f>SUM(Table2[[#This Row],[Apr-17]:[Mar-17]])</f>
        <v>134000</v>
      </c>
      <c r="R10" s="30">
        <f>Table2[[#This Row],[Total]]/$E$68</f>
        <v>2083.3333333333335</v>
      </c>
      <c r="S10" s="123">
        <f>Table2[[#This Row],[USD]]*$C$68</f>
        <v>1958.3333333333333</v>
      </c>
    </row>
    <row r="11" spans="2:19" x14ac:dyDescent="0.2">
      <c r="B11" s="121" t="s">
        <v>212</v>
      </c>
      <c r="C11" s="18">
        <v>1</v>
      </c>
      <c r="D11" s="18">
        <v>10000</v>
      </c>
      <c r="E11" s="18">
        <f>$C$11*$D$11*20/30</f>
        <v>6666.666666666667</v>
      </c>
      <c r="F11" s="18">
        <f>$C$11*$D$11</f>
        <v>10000</v>
      </c>
      <c r="G11" s="18">
        <f>($C$11-1)*$D$11</f>
        <v>0</v>
      </c>
      <c r="H11" s="18">
        <v>10000</v>
      </c>
      <c r="I11" s="18">
        <v>10000</v>
      </c>
      <c r="J11" s="18">
        <v>10000</v>
      </c>
      <c r="K11" s="18">
        <v>10000</v>
      </c>
      <c r="L11" s="18">
        <f t="shared" ref="L11" si="3">$C$11*$D$11</f>
        <v>10000</v>
      </c>
      <c r="M11" s="18">
        <v>0</v>
      </c>
      <c r="N11" s="18">
        <v>30000</v>
      </c>
      <c r="O11" s="18">
        <v>30000</v>
      </c>
      <c r="P11" s="18">
        <v>30000</v>
      </c>
      <c r="Q11" s="30">
        <f>SUM(Table2[[#This Row],[Apr-17]:[Mar-17]])</f>
        <v>156666.66666666669</v>
      </c>
      <c r="R11" s="30">
        <f>Table2[[#This Row],[Total]]/$E$68</f>
        <v>2435.7379767827533</v>
      </c>
      <c r="S11" s="123">
        <f>Table2[[#This Row],[USD]]*$C$68</f>
        <v>2289.5936981757882</v>
      </c>
    </row>
    <row r="12" spans="2:19" x14ac:dyDescent="0.2">
      <c r="B12" s="121" t="s">
        <v>213</v>
      </c>
      <c r="C12" s="18">
        <v>1</v>
      </c>
      <c r="D12" s="18">
        <v>8000</v>
      </c>
      <c r="E12" s="18">
        <f>$C$12*$D$12*20/30</f>
        <v>5333.333333333333</v>
      </c>
      <c r="F12" s="18">
        <f>$C$12*$D$12</f>
        <v>8000</v>
      </c>
      <c r="G12" s="18">
        <f>$C$12*$D$12</f>
        <v>8000</v>
      </c>
      <c r="H12" s="18">
        <f>$C$12*$D$12</f>
        <v>8000</v>
      </c>
      <c r="I12" s="18">
        <v>10000</v>
      </c>
      <c r="J12" s="18">
        <v>10000</v>
      </c>
      <c r="K12" s="18">
        <v>10000</v>
      </c>
      <c r="L12" s="18">
        <v>10000</v>
      </c>
      <c r="M12" s="18">
        <v>10000</v>
      </c>
      <c r="N12" s="18">
        <v>10000</v>
      </c>
      <c r="O12" s="18">
        <v>10000</v>
      </c>
      <c r="P12" s="18">
        <v>10000</v>
      </c>
      <c r="Q12" s="30">
        <f>SUM(Table2[[#This Row],[Apr-17]:[Mar-17]])</f>
        <v>109333.33333333333</v>
      </c>
      <c r="R12" s="30">
        <f>Table2[[#This Row],[Total]]/$E$68</f>
        <v>1699.8341625207297</v>
      </c>
      <c r="S12" s="123">
        <f>Table2[[#This Row],[USD]]*$C$68</f>
        <v>1597.8441127694859</v>
      </c>
    </row>
    <row r="13" spans="2:19" x14ac:dyDescent="0.2">
      <c r="B13" s="153" t="s">
        <v>307</v>
      </c>
      <c r="C13" s="29">
        <v>1</v>
      </c>
      <c r="D13" s="29">
        <v>30000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15000</v>
      </c>
      <c r="M13" s="18">
        <v>0</v>
      </c>
      <c r="N13" s="18">
        <v>0</v>
      </c>
      <c r="O13" s="18">
        <v>0</v>
      </c>
      <c r="P13" s="18">
        <v>0</v>
      </c>
      <c r="Q13" s="30">
        <f>SUM(Table2[[#This Row],[Apr-17]:[Mar-17]])</f>
        <v>15000</v>
      </c>
      <c r="R13" s="30">
        <f>Table2[[#This Row],[Total]]/$E$68</f>
        <v>233.20895522388062</v>
      </c>
      <c r="S13" s="123">
        <f>Table2[[#This Row],[USD]]*$C$68</f>
        <v>219.21641791044777</v>
      </c>
    </row>
    <row r="14" spans="2:19" x14ac:dyDescent="0.2">
      <c r="B14" s="153" t="s">
        <v>308</v>
      </c>
      <c r="C14" s="29">
        <v>1</v>
      </c>
      <c r="D14" s="29">
        <v>18000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6600</v>
      </c>
      <c r="M14" s="18">
        <f>Table2[[#This Row],[Quantity]]*Table2[[#This Row],[CTC]]</f>
        <v>18000</v>
      </c>
      <c r="N14" s="18">
        <f>Table2[[#This Row],[Quantity]]*Table2[[#This Row],[CTC]]</f>
        <v>18000</v>
      </c>
      <c r="O14" s="18">
        <f>Table2[[#This Row],[Quantity]]*Table2[[#This Row],[CTC]]</f>
        <v>18000</v>
      </c>
      <c r="P14" s="18">
        <f>Table2[[#This Row],[Quantity]]*Table2[[#This Row],[CTC]]</f>
        <v>18000</v>
      </c>
      <c r="Q14" s="30">
        <f>SUM(Table2[[#This Row],[Apr-17]:[Mar-17]])</f>
        <v>78600</v>
      </c>
      <c r="R14" s="30">
        <f>Table2[[#This Row],[Total]]/$E$68</f>
        <v>1222.0149253731345</v>
      </c>
      <c r="S14" s="123">
        <f>Table2[[#This Row],[USD]]*$C$68</f>
        <v>1148.6940298507463</v>
      </c>
    </row>
    <row r="15" spans="2:19" x14ac:dyDescent="0.2">
      <c r="B15" s="153" t="s">
        <v>416</v>
      </c>
      <c r="C15" s="29">
        <v>1</v>
      </c>
      <c r="D15" s="29"/>
      <c r="E15" s="29"/>
      <c r="F15" s="29"/>
      <c r="G15" s="29"/>
      <c r="H15" s="29"/>
      <c r="I15" s="29"/>
      <c r="J15" s="29"/>
      <c r="K15" s="29"/>
      <c r="L15" s="29"/>
      <c r="M15" s="18"/>
      <c r="N15" s="18"/>
      <c r="O15" s="18"/>
      <c r="P15" s="18"/>
      <c r="Q15" s="30"/>
      <c r="R15" s="30"/>
      <c r="S15" s="123">
        <f>Table2[[#This Row],[USD]]*$C$68</f>
        <v>0</v>
      </c>
    </row>
    <row r="16" spans="2:19" x14ac:dyDescent="0.2">
      <c r="B16" s="121" t="s">
        <v>214</v>
      </c>
      <c r="C16" s="18">
        <v>1</v>
      </c>
      <c r="D16" s="18">
        <v>1200</v>
      </c>
      <c r="E16" s="18">
        <f>Table2[[#This Row],[CTC]]*Table2[[#This Row],[Quantity]]+100</f>
        <v>1300</v>
      </c>
      <c r="F16" s="18">
        <f>$C$16*$D$16</f>
        <v>1200</v>
      </c>
      <c r="G16" s="18">
        <f>$C$16*$D$16</f>
        <v>1200</v>
      </c>
      <c r="H16" s="18">
        <f>$C$16*$D$16</f>
        <v>1200</v>
      </c>
      <c r="I16" s="18">
        <f>$C$16*$D$16</f>
        <v>1200</v>
      </c>
      <c r="J16" s="18">
        <f>$C$16*$D$16</f>
        <v>1200</v>
      </c>
      <c r="K16" s="18">
        <f>$C$16*$D$16+600</f>
        <v>1800</v>
      </c>
      <c r="L16" s="18">
        <f>$C$16*$D$16</f>
        <v>1200</v>
      </c>
      <c r="M16" s="18">
        <f>$C$16*$D$16</f>
        <v>1200</v>
      </c>
      <c r="N16" s="18">
        <f>$C$16*$D$16</f>
        <v>1200</v>
      </c>
      <c r="O16" s="18">
        <f>$C$16*$D$16</f>
        <v>1200</v>
      </c>
      <c r="P16" s="18">
        <f>$C$16*$D$16</f>
        <v>1200</v>
      </c>
      <c r="Q16" s="30">
        <f>SUM(Table2[[#This Row],[Apr-17]:[Mar-17]])</f>
        <v>15100</v>
      </c>
      <c r="R16" s="30">
        <f>Table2[[#This Row],[Total]]/$E$68</f>
        <v>234.76368159203983</v>
      </c>
      <c r="S16" s="123">
        <f>Table2[[#This Row],[USD]]*$C$68</f>
        <v>220.67786069651743</v>
      </c>
    </row>
    <row r="17" spans="2:22" x14ac:dyDescent="0.2">
      <c r="B17" s="121" t="s">
        <v>361</v>
      </c>
      <c r="C17" s="18">
        <v>0</v>
      </c>
      <c r="D17" s="127">
        <v>0</v>
      </c>
      <c r="E17" s="127">
        <v>0</v>
      </c>
      <c r="F17" s="127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30">
        <v>2875</v>
      </c>
      <c r="M17" s="127">
        <v>0</v>
      </c>
      <c r="N17" s="127">
        <v>0</v>
      </c>
      <c r="O17" s="127">
        <v>0</v>
      </c>
      <c r="P17" s="127">
        <v>0</v>
      </c>
      <c r="Q17" s="30">
        <f>SUM(Table2[[#This Row],[Apr-17]:[Mar-17]])</f>
        <v>2875</v>
      </c>
      <c r="R17" s="30">
        <f>Table2[[#This Row],[Total]]/$E$68</f>
        <v>44.698383084577117</v>
      </c>
      <c r="S17" s="123">
        <f>Table2[[#This Row],[USD]]*$C$68</f>
        <v>42.016480099502488</v>
      </c>
    </row>
    <row r="18" spans="2:22" s="128" customFormat="1" x14ac:dyDescent="0.2">
      <c r="B18" s="121" t="s">
        <v>215</v>
      </c>
      <c r="C18" s="18">
        <v>0</v>
      </c>
      <c r="D18" s="127">
        <v>0</v>
      </c>
      <c r="E18" s="127">
        <v>0</v>
      </c>
      <c r="F18" s="127">
        <v>0</v>
      </c>
      <c r="G18" s="127">
        <v>0</v>
      </c>
      <c r="H18" s="127">
        <v>0</v>
      </c>
      <c r="I18" s="127">
        <v>25488</v>
      </c>
      <c r="J18" s="127">
        <v>0</v>
      </c>
      <c r="K18" s="127">
        <v>28320</v>
      </c>
      <c r="L18" s="222">
        <f>30000*1.5*12*8.33%*1.18</f>
        <v>53078.759999999995</v>
      </c>
      <c r="M18" s="127">
        <v>0</v>
      </c>
      <c r="N18" s="127">
        <v>0</v>
      </c>
      <c r="O18" s="127">
        <v>0</v>
      </c>
      <c r="P18" s="127">
        <v>0</v>
      </c>
      <c r="Q18" s="30">
        <f>SUM(Table2[[#This Row],[Apr-17]:[Mar-17]])</f>
        <v>106886.76</v>
      </c>
      <c r="R18" s="30">
        <f>Table2[[#This Row],[Total]]/$E$68</f>
        <v>1661.796641791045</v>
      </c>
      <c r="S18" s="123">
        <f>Table2[[#This Row],[USD]]*$C$68</f>
        <v>1562.0888432835823</v>
      </c>
      <c r="U18" s="128">
        <v>30000</v>
      </c>
      <c r="V18" s="128" t="s">
        <v>358</v>
      </c>
    </row>
    <row r="19" spans="2:22" s="128" customFormat="1" x14ac:dyDescent="0.2">
      <c r="B19" s="108" t="s">
        <v>216</v>
      </c>
      <c r="C19" s="124"/>
      <c r="D19" s="124"/>
      <c r="E19" s="125">
        <f t="shared" ref="E19:S19" si="4">E20+E43</f>
        <v>451405</v>
      </c>
      <c r="F19" s="125">
        <f t="shared" si="4"/>
        <v>956.99</v>
      </c>
      <c r="G19" s="125">
        <f t="shared" si="4"/>
        <v>1424.11</v>
      </c>
      <c r="H19" s="125">
        <f t="shared" si="4"/>
        <v>30339</v>
      </c>
      <c r="I19" s="125">
        <f t="shared" si="4"/>
        <v>837</v>
      </c>
      <c r="J19" s="125">
        <f t="shared" si="4"/>
        <v>19361.82</v>
      </c>
      <c r="K19" s="125">
        <f t="shared" si="4"/>
        <v>0</v>
      </c>
      <c r="L19" s="125">
        <f t="shared" si="4"/>
        <v>69792.84</v>
      </c>
      <c r="M19" s="125">
        <f t="shared" si="4"/>
        <v>733.35</v>
      </c>
      <c r="N19" s="125">
        <f t="shared" si="4"/>
        <v>0</v>
      </c>
      <c r="O19" s="125">
        <f t="shared" si="4"/>
        <v>0</v>
      </c>
      <c r="P19" s="125">
        <f t="shared" si="4"/>
        <v>0</v>
      </c>
      <c r="Q19" s="125">
        <f t="shared" si="4"/>
        <v>574850.11</v>
      </c>
      <c r="R19" s="125">
        <f t="shared" si="4"/>
        <v>8937.3462375621912</v>
      </c>
      <c r="S19" s="126">
        <f t="shared" si="4"/>
        <v>8401.1054633084568</v>
      </c>
      <c r="U19" s="128">
        <v>5500</v>
      </c>
      <c r="V19" s="128" t="s">
        <v>358</v>
      </c>
    </row>
    <row r="20" spans="2:22" x14ac:dyDescent="0.2">
      <c r="B20" s="109" t="s">
        <v>71</v>
      </c>
      <c r="C20" s="129"/>
      <c r="D20" s="129"/>
      <c r="E20" s="82">
        <f>SUM(E21:E42)</f>
        <v>434915</v>
      </c>
      <c r="F20" s="82">
        <f t="shared" ref="F20:S20" si="5">SUM(F21:F42)</f>
        <v>0</v>
      </c>
      <c r="G20" s="82">
        <f t="shared" si="5"/>
        <v>0</v>
      </c>
      <c r="H20" s="82">
        <f t="shared" si="5"/>
        <v>0</v>
      </c>
      <c r="I20" s="82">
        <f t="shared" si="5"/>
        <v>0</v>
      </c>
      <c r="J20" s="82">
        <f t="shared" si="5"/>
        <v>7771.53</v>
      </c>
      <c r="K20" s="82">
        <f t="shared" si="5"/>
        <v>0</v>
      </c>
      <c r="L20" s="82">
        <f t="shared" si="5"/>
        <v>58228</v>
      </c>
      <c r="M20" s="82">
        <f t="shared" si="5"/>
        <v>0</v>
      </c>
      <c r="N20" s="82">
        <f t="shared" si="5"/>
        <v>0</v>
      </c>
      <c r="O20" s="82">
        <f t="shared" si="5"/>
        <v>0</v>
      </c>
      <c r="P20" s="82">
        <f t="shared" si="5"/>
        <v>0</v>
      </c>
      <c r="Q20" s="82">
        <f t="shared" si="5"/>
        <v>500914.53</v>
      </c>
      <c r="R20" s="82">
        <f t="shared" si="5"/>
        <v>7787.8502798507479</v>
      </c>
      <c r="S20" s="82">
        <f t="shared" si="5"/>
        <v>7320.5792630596998</v>
      </c>
      <c r="U20" s="1">
        <v>8</v>
      </c>
      <c r="V20" s="1" t="s">
        <v>359</v>
      </c>
    </row>
    <row r="21" spans="2:22" x14ac:dyDescent="0.2">
      <c r="B21" s="121" t="s">
        <v>217</v>
      </c>
      <c r="C21" s="127">
        <v>1</v>
      </c>
      <c r="D21" s="127">
        <v>36500</v>
      </c>
      <c r="E21" s="127">
        <f>Table2[[#This Row],[Quantity]]*Table2[[#This Row],[CTC]]</f>
        <v>36500</v>
      </c>
      <c r="F21" s="127">
        <v>0</v>
      </c>
      <c r="G21" s="127">
        <v>0</v>
      </c>
      <c r="H21" s="127">
        <v>0</v>
      </c>
      <c r="I21" s="127">
        <v>0</v>
      </c>
      <c r="J21" s="127">
        <v>0</v>
      </c>
      <c r="K21" s="127">
        <v>0</v>
      </c>
      <c r="L21" s="222">
        <v>0</v>
      </c>
      <c r="M21" s="127">
        <v>0</v>
      </c>
      <c r="N21" s="127">
        <v>0</v>
      </c>
      <c r="O21" s="127">
        <v>0</v>
      </c>
      <c r="P21" s="127">
        <v>0</v>
      </c>
      <c r="Q21" s="30">
        <f>SUM(Table2[[#This Row],[Apr-17]:[Mar-17]])</f>
        <v>36500</v>
      </c>
      <c r="R21" s="30">
        <f>Table2[[#This Row],[Total]]/$E$68</f>
        <v>567.47512437810951</v>
      </c>
      <c r="S21" s="123">
        <f>Table2[[#This Row],[USD]]*$C$68</f>
        <v>533.42661691542287</v>
      </c>
      <c r="U21" s="1">
        <v>2400</v>
      </c>
      <c r="V21" s="1" t="s">
        <v>221</v>
      </c>
    </row>
    <row r="22" spans="2:22" x14ac:dyDescent="0.2">
      <c r="B22" s="121" t="s">
        <v>218</v>
      </c>
      <c r="C22" s="127">
        <v>4</v>
      </c>
      <c r="D22" s="127">
        <v>29650</v>
      </c>
      <c r="E22" s="127">
        <f>Table2[[#This Row],[Quantity]]*Table2[[#This Row],[CTC]]</f>
        <v>118600</v>
      </c>
      <c r="F22" s="127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222">
        <v>0</v>
      </c>
      <c r="M22" s="127">
        <v>0</v>
      </c>
      <c r="N22" s="127">
        <v>0</v>
      </c>
      <c r="O22" s="127">
        <v>0</v>
      </c>
      <c r="P22" s="127">
        <v>0</v>
      </c>
      <c r="Q22" s="30">
        <f>SUM(Table2[[#This Row],[Apr-17]:[Mar-17]])</f>
        <v>118600</v>
      </c>
      <c r="R22" s="30">
        <f>Table2[[#This Row],[Total]]/$E$68</f>
        <v>1843.9054726368161</v>
      </c>
      <c r="S22" s="123">
        <f>Table2[[#This Row],[USD]]*$C$68</f>
        <v>1733.2711442786069</v>
      </c>
      <c r="U22" s="1">
        <v>700</v>
      </c>
      <c r="V22" s="1" t="s">
        <v>360</v>
      </c>
    </row>
    <row r="23" spans="2:22" x14ac:dyDescent="0.2">
      <c r="B23" s="121" t="s">
        <v>219</v>
      </c>
      <c r="C23" s="127">
        <v>1</v>
      </c>
      <c r="D23" s="127">
        <v>39650</v>
      </c>
      <c r="E23" s="127">
        <f>Table2[[#This Row],[Quantity]]*Table2[[#This Row],[CTC]]</f>
        <v>39650</v>
      </c>
      <c r="F23" s="127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222">
        <v>39650</v>
      </c>
      <c r="M23" s="127">
        <v>0</v>
      </c>
      <c r="N23" s="127">
        <v>0</v>
      </c>
      <c r="O23" s="127">
        <v>0</v>
      </c>
      <c r="P23" s="127">
        <v>0</v>
      </c>
      <c r="Q23" s="30">
        <f>SUM(Table2[[#This Row],[Apr-17]:[Mar-17]])</f>
        <v>79300</v>
      </c>
      <c r="R23" s="30">
        <f>Table2[[#This Row],[Total]]/$E$68</f>
        <v>1232.8980099502489</v>
      </c>
      <c r="S23" s="123">
        <f>Table2[[#This Row],[USD]]*$C$68</f>
        <v>1158.9241293532339</v>
      </c>
      <c r="U23" s="1">
        <f>SUM(U18:U22)</f>
        <v>38608</v>
      </c>
      <c r="V23" s="1" t="s">
        <v>62</v>
      </c>
    </row>
    <row r="24" spans="2:22" x14ac:dyDescent="0.2">
      <c r="B24" s="121" t="s">
        <v>220</v>
      </c>
      <c r="C24" s="127">
        <v>1</v>
      </c>
      <c r="D24" s="127">
        <f>148700+3000</f>
        <v>151700</v>
      </c>
      <c r="E24" s="127">
        <f>Table2[[#This Row],[Quantity]]*Table2[[#This Row],[CTC]]</f>
        <v>151700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v>0</v>
      </c>
      <c r="L24" s="222">
        <v>0</v>
      </c>
      <c r="M24" s="127">
        <v>0</v>
      </c>
      <c r="N24" s="127">
        <v>0</v>
      </c>
      <c r="O24" s="127">
        <v>0</v>
      </c>
      <c r="P24" s="127">
        <v>0</v>
      </c>
      <c r="Q24" s="30">
        <f>SUM(Table2[[#This Row],[Apr-17]:[Mar-17]])</f>
        <v>151700</v>
      </c>
      <c r="R24" s="30">
        <f>Table2[[#This Row],[Total]]/$E$68</f>
        <v>2358.5199004975125</v>
      </c>
      <c r="S24" s="123">
        <f>Table2[[#This Row],[USD]]*$C$68</f>
        <v>2217.0087064676618</v>
      </c>
    </row>
    <row r="25" spans="2:22" x14ac:dyDescent="0.2">
      <c r="B25" s="121" t="s">
        <v>221</v>
      </c>
      <c r="C25" s="127">
        <v>6</v>
      </c>
      <c r="D25" s="127">
        <v>2000</v>
      </c>
      <c r="E25" s="127">
        <f>Table2[[#This Row],[Quantity]]*Table2[[#This Row],[CTC]]</f>
        <v>12000</v>
      </c>
      <c r="F25" s="127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222">
        <v>0</v>
      </c>
      <c r="M25" s="127">
        <v>0</v>
      </c>
      <c r="N25" s="127">
        <v>0</v>
      </c>
      <c r="O25" s="127">
        <v>0</v>
      </c>
      <c r="P25" s="127">
        <v>0</v>
      </c>
      <c r="Q25" s="30">
        <f>SUM(Table2[[#This Row],[Apr-17]:[Mar-17]])</f>
        <v>12000</v>
      </c>
      <c r="R25" s="30">
        <f>Table2[[#This Row],[Total]]/$E$68</f>
        <v>186.56716417910451</v>
      </c>
      <c r="S25" s="123">
        <f>Table2[[#This Row],[USD]]*$C$68</f>
        <v>175.37313432835822</v>
      </c>
    </row>
    <row r="26" spans="2:22" x14ac:dyDescent="0.2">
      <c r="B26" s="121" t="s">
        <v>221</v>
      </c>
      <c r="C26" s="127">
        <v>1</v>
      </c>
      <c r="D26" s="127">
        <v>2400</v>
      </c>
      <c r="E26" s="127">
        <v>0</v>
      </c>
      <c r="F26" s="127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222">
        <f>Table2[[#This Row],[Quantity]]*Table2[[#This Row],[CTC]]</f>
        <v>2400</v>
      </c>
      <c r="M26" s="127">
        <v>0</v>
      </c>
      <c r="N26" s="127">
        <v>0</v>
      </c>
      <c r="O26" s="127">
        <v>0</v>
      </c>
      <c r="P26" s="127">
        <v>0</v>
      </c>
      <c r="Q26" s="30">
        <f>SUM(Table2[[#This Row],[Apr-17]:[Mar-17]])</f>
        <v>2400</v>
      </c>
      <c r="R26" s="30">
        <f>Table2[[#This Row],[Total]]/$E$68</f>
        <v>37.313432835820898</v>
      </c>
      <c r="S26" s="123">
        <f>Table2[[#This Row],[USD]]*$C$68</f>
        <v>35.07462686567164</v>
      </c>
      <c r="U26" s="1">
        <v>15000</v>
      </c>
    </row>
    <row r="27" spans="2:22" x14ac:dyDescent="0.2">
      <c r="B27" s="121" t="s">
        <v>357</v>
      </c>
      <c r="C27" s="127">
        <v>1</v>
      </c>
      <c r="D27" s="127">
        <v>2600</v>
      </c>
      <c r="E27" s="127">
        <v>0</v>
      </c>
      <c r="F27" s="127">
        <v>0</v>
      </c>
      <c r="G27" s="127">
        <v>0</v>
      </c>
      <c r="H27" s="127">
        <v>0</v>
      </c>
      <c r="I27" s="127">
        <v>0</v>
      </c>
      <c r="J27" s="127">
        <v>0</v>
      </c>
      <c r="K27" s="127">
        <v>0</v>
      </c>
      <c r="L27" s="222">
        <f>Table2[[#This Row],[Quantity]]*Table2[[#This Row],[CTC]]</f>
        <v>2600</v>
      </c>
      <c r="M27" s="127">
        <v>0</v>
      </c>
      <c r="N27" s="127">
        <v>0</v>
      </c>
      <c r="O27" s="127">
        <v>0</v>
      </c>
      <c r="P27" s="127">
        <v>0</v>
      </c>
      <c r="Q27" s="30">
        <f>SUM(Table2[[#This Row],[Apr-17]:[Mar-17]])</f>
        <v>2600</v>
      </c>
      <c r="R27" s="30">
        <f>Table2[[#This Row],[Total]]/$E$68</f>
        <v>40.422885572139307</v>
      </c>
      <c r="S27" s="123">
        <f>Table2[[#This Row],[USD]]*$C$68</f>
        <v>37.997512437810947</v>
      </c>
      <c r="U27" s="1">
        <v>30000</v>
      </c>
    </row>
    <row r="28" spans="2:22" x14ac:dyDescent="0.2">
      <c r="B28" s="121" t="s">
        <v>223</v>
      </c>
      <c r="C28" s="127">
        <v>2</v>
      </c>
      <c r="D28" s="127">
        <v>2500</v>
      </c>
      <c r="E28" s="127">
        <f>Table2[[#This Row],[Quantity]]*Table2[[#This Row],[CTC]]</f>
        <v>5000</v>
      </c>
      <c r="F28" s="127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222">
        <v>0</v>
      </c>
      <c r="M28" s="127">
        <v>0</v>
      </c>
      <c r="N28" s="127">
        <v>0</v>
      </c>
      <c r="O28" s="127">
        <v>0</v>
      </c>
      <c r="P28" s="127">
        <v>0</v>
      </c>
      <c r="Q28" s="30">
        <f>SUM(Table2[[#This Row],[Apr-17]:[Mar-17]])</f>
        <v>5000</v>
      </c>
      <c r="R28" s="30">
        <f>Table2[[#This Row],[Total]]/$E$68</f>
        <v>77.736318407960212</v>
      </c>
      <c r="S28" s="123">
        <f>Table2[[#This Row],[USD]]*$C$68</f>
        <v>73.072139303482601</v>
      </c>
      <c r="U28" s="1">
        <f>SUM(U26:U27)</f>
        <v>45000</v>
      </c>
    </row>
    <row r="29" spans="2:22" x14ac:dyDescent="0.2">
      <c r="B29" s="121" t="s">
        <v>224</v>
      </c>
      <c r="C29" s="127">
        <v>1</v>
      </c>
      <c r="D29" s="127">
        <v>8000</v>
      </c>
      <c r="E29" s="127">
        <f>Table2[[#This Row],[Quantity]]*Table2[[#This Row],[CTC]]</f>
        <v>8000</v>
      </c>
      <c r="F29" s="127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222">
        <v>0</v>
      </c>
      <c r="M29" s="127">
        <v>0</v>
      </c>
      <c r="N29" s="127">
        <v>0</v>
      </c>
      <c r="O29" s="127">
        <v>0</v>
      </c>
      <c r="P29" s="127">
        <v>0</v>
      </c>
      <c r="Q29" s="30">
        <f>SUM(Table2[[#This Row],[Apr-17]:[Mar-17]])</f>
        <v>8000</v>
      </c>
      <c r="R29" s="30">
        <f>Table2[[#This Row],[Total]]/$E$68</f>
        <v>124.37810945273633</v>
      </c>
      <c r="S29" s="123">
        <f>Table2[[#This Row],[USD]]*$C$68</f>
        <v>116.91542288557214</v>
      </c>
      <c r="U29" s="1">
        <f>U28*12</f>
        <v>540000</v>
      </c>
    </row>
    <row r="30" spans="2:22" x14ac:dyDescent="0.2">
      <c r="B30" s="121" t="s">
        <v>225</v>
      </c>
      <c r="C30" s="127">
        <v>1</v>
      </c>
      <c r="D30" s="127">
        <v>18000</v>
      </c>
      <c r="E30" s="127">
        <f>Table2[[#This Row],[Quantity]]*Table2[[#This Row],[CTC]]</f>
        <v>18000</v>
      </c>
      <c r="F30" s="127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222">
        <v>0</v>
      </c>
      <c r="M30" s="127">
        <v>0</v>
      </c>
      <c r="N30" s="127">
        <v>0</v>
      </c>
      <c r="O30" s="127">
        <v>0</v>
      </c>
      <c r="P30" s="127">
        <v>0</v>
      </c>
      <c r="Q30" s="30">
        <f>SUM(Table2[[#This Row],[Apr-17]:[Mar-17]])</f>
        <v>18000</v>
      </c>
      <c r="R30" s="30">
        <f>Table2[[#This Row],[Total]]/$E$68</f>
        <v>279.85074626865674</v>
      </c>
      <c r="S30" s="123">
        <f>Table2[[#This Row],[USD]]*$C$68</f>
        <v>263.05970149253733</v>
      </c>
      <c r="U30" s="1">
        <f>U29*8.33%</f>
        <v>44982</v>
      </c>
    </row>
    <row r="31" spans="2:22" x14ac:dyDescent="0.2">
      <c r="B31" s="121" t="s">
        <v>226</v>
      </c>
      <c r="C31" s="127">
        <v>1</v>
      </c>
      <c r="D31" s="127">
        <v>15000</v>
      </c>
      <c r="E31" s="127">
        <f>Table2[[#This Row],[Quantity]]*Table2[[#This Row],[CTC]]</f>
        <v>15000</v>
      </c>
      <c r="F31" s="127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0</v>
      </c>
      <c r="L31" s="222">
        <v>0</v>
      </c>
      <c r="M31" s="127">
        <v>0</v>
      </c>
      <c r="N31" s="127">
        <v>0</v>
      </c>
      <c r="O31" s="127">
        <v>0</v>
      </c>
      <c r="P31" s="127">
        <v>0</v>
      </c>
      <c r="Q31" s="30">
        <f>SUM(Table2[[#This Row],[Apr-17]:[Mar-17]])</f>
        <v>15000</v>
      </c>
      <c r="R31" s="30">
        <f>Table2[[#This Row],[Total]]/$E$68</f>
        <v>233.20895522388062</v>
      </c>
      <c r="S31" s="123">
        <f>Table2[[#This Row],[USD]]*$C$68</f>
        <v>219.21641791044777</v>
      </c>
      <c r="U31" s="1">
        <f>U30*1.18</f>
        <v>53078.759999999995</v>
      </c>
    </row>
    <row r="32" spans="2:22" x14ac:dyDescent="0.2">
      <c r="B32" s="121" t="s">
        <v>227</v>
      </c>
      <c r="C32" s="127">
        <v>2</v>
      </c>
      <c r="D32" s="127">
        <v>5000</v>
      </c>
      <c r="E32" s="127">
        <f>Table2[[#This Row],[Quantity]]*Table2[[#This Row],[CTC]]</f>
        <v>10000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222">
        <v>0</v>
      </c>
      <c r="M32" s="127">
        <v>0</v>
      </c>
      <c r="N32" s="127">
        <v>0</v>
      </c>
      <c r="O32" s="127">
        <v>0</v>
      </c>
      <c r="P32" s="127">
        <v>0</v>
      </c>
      <c r="Q32" s="30">
        <f>SUM(Table2[[#This Row],[Apr-17]:[Mar-17]])</f>
        <v>10000</v>
      </c>
      <c r="R32" s="30">
        <f>Table2[[#This Row],[Total]]/$E$68</f>
        <v>155.47263681592042</v>
      </c>
      <c r="S32" s="123">
        <f>Table2[[#This Row],[USD]]*$C$68</f>
        <v>146.1442786069652</v>
      </c>
    </row>
    <row r="33" spans="2:19" x14ac:dyDescent="0.2">
      <c r="B33" s="121" t="s">
        <v>228</v>
      </c>
      <c r="C33" s="127">
        <v>2</v>
      </c>
      <c r="D33" s="127">
        <v>4350</v>
      </c>
      <c r="E33" s="127">
        <v>4350</v>
      </c>
      <c r="F33" s="127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222">
        <v>3698</v>
      </c>
      <c r="M33" s="127">
        <v>0</v>
      </c>
      <c r="N33" s="127">
        <v>0</v>
      </c>
      <c r="O33" s="127">
        <v>0</v>
      </c>
      <c r="P33" s="127">
        <v>0</v>
      </c>
      <c r="Q33" s="30">
        <f>SUM(Table2[[#This Row],[Apr-17]:[Mar-17]])</f>
        <v>8048</v>
      </c>
      <c r="R33" s="30">
        <f>Table2[[#This Row],[Total]]/$E$68</f>
        <v>125.12437810945275</v>
      </c>
      <c r="S33" s="123">
        <f>Table2[[#This Row],[USD]]*$C$68</f>
        <v>117.61691542288558</v>
      </c>
    </row>
    <row r="34" spans="2:19" x14ac:dyDescent="0.2">
      <c r="B34" s="121" t="s">
        <v>229</v>
      </c>
      <c r="C34" s="127">
        <v>1</v>
      </c>
      <c r="D34" s="127">
        <v>7000</v>
      </c>
      <c r="E34" s="127">
        <f>Table2[[#This Row],[Quantity]]*Table2[[#This Row],[CTC]]</f>
        <v>7000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222">
        <v>0</v>
      </c>
      <c r="M34" s="127">
        <v>0</v>
      </c>
      <c r="N34" s="127">
        <v>0</v>
      </c>
      <c r="O34" s="127">
        <v>0</v>
      </c>
      <c r="P34" s="127">
        <v>0</v>
      </c>
      <c r="Q34" s="30">
        <f>SUM(Table2[[#This Row],[Apr-17]:[Mar-17]])</f>
        <v>7000</v>
      </c>
      <c r="R34" s="30">
        <f>Table2[[#This Row],[Total]]/$E$68</f>
        <v>108.8308457711443</v>
      </c>
      <c r="S34" s="123">
        <f>Table2[[#This Row],[USD]]*$C$68</f>
        <v>102.30099502487563</v>
      </c>
    </row>
    <row r="35" spans="2:19" x14ac:dyDescent="0.2">
      <c r="B35" s="121" t="s">
        <v>230</v>
      </c>
      <c r="C35" s="127">
        <v>7</v>
      </c>
      <c r="D35" s="127">
        <v>575</v>
      </c>
      <c r="E35" s="127">
        <f>Table2[[#This Row],[Quantity]]*Table2[[#This Row],[CTC]]+650</f>
        <v>4675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222">
        <v>0</v>
      </c>
      <c r="M35" s="127">
        <v>0</v>
      </c>
      <c r="N35" s="127">
        <v>0</v>
      </c>
      <c r="O35" s="127">
        <v>0</v>
      </c>
      <c r="P35" s="127">
        <v>0</v>
      </c>
      <c r="Q35" s="30">
        <f>SUM(Table2[[#This Row],[Apr-17]:[Mar-17]])</f>
        <v>4675</v>
      </c>
      <c r="R35" s="30">
        <f>Table2[[#This Row],[Total]]/$E$68</f>
        <v>72.683457711442799</v>
      </c>
      <c r="S35" s="123">
        <f>Table2[[#This Row],[USD]]*$C$68</f>
        <v>68.322450248756226</v>
      </c>
    </row>
    <row r="36" spans="2:19" x14ac:dyDescent="0.2">
      <c r="B36" s="121" t="s">
        <v>231</v>
      </c>
      <c r="C36" s="127">
        <v>2</v>
      </c>
      <c r="D36" s="127">
        <v>1350</v>
      </c>
      <c r="E36" s="127">
        <f>Table2[[#This Row],[Quantity]]*Table2[[#This Row],[CTC]]+650</f>
        <v>3350</v>
      </c>
      <c r="F36" s="127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222">
        <v>0</v>
      </c>
      <c r="M36" s="127">
        <v>0</v>
      </c>
      <c r="N36" s="127">
        <v>0</v>
      </c>
      <c r="O36" s="127">
        <v>0</v>
      </c>
      <c r="P36" s="127">
        <v>0</v>
      </c>
      <c r="Q36" s="30">
        <f>SUM(Table2[[#This Row],[Apr-17]:[Mar-17]])</f>
        <v>3350</v>
      </c>
      <c r="R36" s="30">
        <f>Table2[[#This Row],[Total]]/$E$68</f>
        <v>52.083333333333336</v>
      </c>
      <c r="S36" s="123">
        <f>Table2[[#This Row],[USD]]*$C$68</f>
        <v>48.958333333333336</v>
      </c>
    </row>
    <row r="37" spans="2:19" x14ac:dyDescent="0.2">
      <c r="B37" s="121" t="s">
        <v>231</v>
      </c>
      <c r="C37" s="127">
        <v>1</v>
      </c>
      <c r="D37" s="127">
        <v>700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222">
        <f>Table2[[#This Row],[Quantity]]*Table2[[#This Row],[CTC]]</f>
        <v>700</v>
      </c>
      <c r="M37" s="127">
        <v>0</v>
      </c>
      <c r="N37" s="127">
        <v>0</v>
      </c>
      <c r="O37" s="127">
        <v>0</v>
      </c>
      <c r="P37" s="127">
        <v>0</v>
      </c>
      <c r="Q37" s="30">
        <f>SUM(Table2[[#This Row],[Apr-17]:[Mar-17]])</f>
        <v>700</v>
      </c>
      <c r="R37" s="30">
        <f>Table2[[#This Row],[Total]]/$E$68</f>
        <v>10.883084577114429</v>
      </c>
      <c r="S37" s="123">
        <f>Table2[[#This Row],[USD]]*$C$68</f>
        <v>10.230099502487564</v>
      </c>
    </row>
    <row r="38" spans="2:19" x14ac:dyDescent="0.2">
      <c r="B38" s="121" t="s">
        <v>232</v>
      </c>
      <c r="C38" s="127">
        <v>1</v>
      </c>
      <c r="D38" s="127">
        <v>23250</v>
      </c>
      <c r="E38" s="127">
        <v>0</v>
      </c>
      <c r="F38" s="127">
        <v>0</v>
      </c>
      <c r="G38" s="127">
        <v>0</v>
      </c>
      <c r="H38" s="127">
        <v>0</v>
      </c>
      <c r="I38" s="127">
        <v>0</v>
      </c>
      <c r="J38" s="22">
        <v>7771.53</v>
      </c>
      <c r="K38" s="127">
        <v>0</v>
      </c>
      <c r="L38" s="222">
        <v>0</v>
      </c>
      <c r="M38" s="127">
        <v>0</v>
      </c>
      <c r="N38" s="127">
        <v>0</v>
      </c>
      <c r="O38" s="127">
        <v>0</v>
      </c>
      <c r="P38" s="127">
        <v>0</v>
      </c>
      <c r="Q38" s="30">
        <f>SUM(Table2[[#This Row],[Apr-17]:[Mar-17]])</f>
        <v>7771.53</v>
      </c>
      <c r="R38" s="30">
        <f>Table2[[#This Row],[Total]]/$E$68</f>
        <v>120.826026119403</v>
      </c>
      <c r="S38" s="123">
        <f>Table2[[#This Row],[USD]]*$C$68</f>
        <v>113.5764645522388</v>
      </c>
    </row>
    <row r="39" spans="2:19" x14ac:dyDescent="0.2">
      <c r="B39" s="121" t="s">
        <v>233</v>
      </c>
      <c r="C39" s="127">
        <v>6</v>
      </c>
      <c r="D39" s="127">
        <v>50</v>
      </c>
      <c r="E39" s="127">
        <f>Table2[[#This Row],[Quantity]]*Table2[[#This Row],[CTC]]+650+140</f>
        <v>1090</v>
      </c>
      <c r="F39" s="127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222">
        <v>0</v>
      </c>
      <c r="M39" s="127">
        <v>0</v>
      </c>
      <c r="N39" s="127">
        <v>0</v>
      </c>
      <c r="O39" s="127">
        <v>0</v>
      </c>
      <c r="P39" s="127">
        <v>0</v>
      </c>
      <c r="Q39" s="30">
        <f>SUM(Table2[[#This Row],[Apr-17]:[Mar-17]])</f>
        <v>1090</v>
      </c>
      <c r="R39" s="30">
        <f>Table2[[#This Row],[Total]]/$E$68</f>
        <v>16.946517412935325</v>
      </c>
      <c r="S39" s="123">
        <f>Table2[[#This Row],[USD]]*$C$68</f>
        <v>15.929726368159205</v>
      </c>
    </row>
    <row r="40" spans="2:19" x14ac:dyDescent="0.2">
      <c r="B40" s="121" t="s">
        <v>310</v>
      </c>
      <c r="C40" s="127">
        <v>0</v>
      </c>
      <c r="D40" s="127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222">
        <f>1700+500+500</f>
        <v>2700</v>
      </c>
      <c r="M40" s="127">
        <v>0</v>
      </c>
      <c r="N40" s="127">
        <v>0</v>
      </c>
      <c r="O40" s="127">
        <v>0</v>
      </c>
      <c r="P40" s="127">
        <v>0</v>
      </c>
      <c r="Q40" s="30">
        <f>SUM(Table2[[#This Row],[Apr-17]:[Mar-17]])</f>
        <v>2700</v>
      </c>
      <c r="R40" s="30">
        <f>Table2[[#This Row],[Total]]/$E$68</f>
        <v>41.977611940298509</v>
      </c>
      <c r="S40" s="123">
        <f>Table2[[#This Row],[USD]]*$C$68</f>
        <v>39.458955223880594</v>
      </c>
    </row>
    <row r="41" spans="2:19" x14ac:dyDescent="0.2">
      <c r="B41" s="121" t="s">
        <v>346</v>
      </c>
      <c r="C41" s="127">
        <v>1</v>
      </c>
      <c r="D41" s="127">
        <v>3490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222">
        <f>Table2[[#This Row],[Quantity]]*Table2[[#This Row],[CTC]]</f>
        <v>3490</v>
      </c>
      <c r="M41" s="127">
        <v>0</v>
      </c>
      <c r="N41" s="127">
        <v>0</v>
      </c>
      <c r="O41" s="127">
        <v>0</v>
      </c>
      <c r="P41" s="127">
        <v>0</v>
      </c>
      <c r="Q41" s="30">
        <f>SUM(Table2[[#This Row],[Apr-17]:[Mar-17]])</f>
        <v>3490</v>
      </c>
      <c r="R41" s="30">
        <f>Table2[[#This Row],[Total]]/$E$68</f>
        <v>54.259950248756226</v>
      </c>
      <c r="S41" s="123">
        <f>Table2[[#This Row],[USD]]*$C$68</f>
        <v>51.004353233830848</v>
      </c>
    </row>
    <row r="42" spans="2:19" x14ac:dyDescent="0.2">
      <c r="B42" s="121" t="s">
        <v>356</v>
      </c>
      <c r="C42" s="127">
        <v>1</v>
      </c>
      <c r="D42" s="127">
        <v>2990</v>
      </c>
      <c r="E42" s="127">
        <v>0</v>
      </c>
      <c r="F42" s="127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222">
        <f>Table2[[#This Row],[Quantity]]*Table2[[#This Row],[CTC]]</f>
        <v>2990</v>
      </c>
      <c r="M42" s="127">
        <v>0</v>
      </c>
      <c r="N42" s="127">
        <v>0</v>
      </c>
      <c r="O42" s="127">
        <v>0</v>
      </c>
      <c r="P42" s="127">
        <v>0</v>
      </c>
      <c r="Q42" s="30">
        <f>SUM(Table2[[#This Row],[Apr-17]:[Mar-17]])</f>
        <v>2990</v>
      </c>
      <c r="R42" s="30">
        <f>Table2[[#This Row],[Total]]/$E$68</f>
        <v>46.486318407960205</v>
      </c>
      <c r="S42" s="123">
        <f>Table2[[#This Row],[USD]]*$C$68</f>
        <v>43.697139303482594</v>
      </c>
    </row>
    <row r="43" spans="2:19" x14ac:dyDescent="0.2">
      <c r="B43" s="109" t="s">
        <v>79</v>
      </c>
      <c r="C43" s="129"/>
      <c r="D43" s="129"/>
      <c r="E43" s="82">
        <f>SUM(E44:E53)</f>
        <v>16490</v>
      </c>
      <c r="F43" s="82">
        <f t="shared" ref="F43:S43" si="6">SUM(F44:F53)</f>
        <v>956.99</v>
      </c>
      <c r="G43" s="82">
        <f t="shared" si="6"/>
        <v>1424.11</v>
      </c>
      <c r="H43" s="82">
        <f t="shared" si="6"/>
        <v>30339</v>
      </c>
      <c r="I43" s="82">
        <f t="shared" si="6"/>
        <v>837</v>
      </c>
      <c r="J43" s="82">
        <f t="shared" si="6"/>
        <v>11590.29</v>
      </c>
      <c r="K43" s="82">
        <f t="shared" si="6"/>
        <v>0</v>
      </c>
      <c r="L43" s="82">
        <f t="shared" si="6"/>
        <v>11564.84</v>
      </c>
      <c r="M43" s="82">
        <f t="shared" si="6"/>
        <v>733.35</v>
      </c>
      <c r="N43" s="82">
        <f t="shared" si="6"/>
        <v>0</v>
      </c>
      <c r="O43" s="82">
        <f t="shared" si="6"/>
        <v>0</v>
      </c>
      <c r="P43" s="82">
        <f t="shared" si="6"/>
        <v>0</v>
      </c>
      <c r="Q43" s="82">
        <f t="shared" si="6"/>
        <v>73935.579999999987</v>
      </c>
      <c r="R43" s="82">
        <f t="shared" si="6"/>
        <v>1149.4959577114428</v>
      </c>
      <c r="S43" s="82">
        <f t="shared" si="6"/>
        <v>1080.5262002487564</v>
      </c>
    </row>
    <row r="44" spans="2:19" x14ac:dyDescent="0.2">
      <c r="B44" s="121" t="s">
        <v>234</v>
      </c>
      <c r="C44" s="127">
        <v>6</v>
      </c>
      <c r="D44" s="127">
        <v>5175</v>
      </c>
      <c r="E44" s="127">
        <v>8000</v>
      </c>
      <c r="F44" s="127">
        <v>0</v>
      </c>
      <c r="G44" s="127">
        <v>0</v>
      </c>
      <c r="H44" s="127">
        <f>Table2[[#This Row],[CTC]]*(Table2[[#This Row],[Quantity]]-1)</f>
        <v>25875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30">
        <f>SUM(Table2[[#This Row],[Apr-17]:[Mar-17]])</f>
        <v>33875</v>
      </c>
      <c r="R44" s="30">
        <f>Table2[[#This Row],[Total]]/$E$68</f>
        <v>526.6635572139304</v>
      </c>
      <c r="S44" s="123">
        <f>Table2[[#This Row],[USD]]*$C$68</f>
        <v>495.06374378109456</v>
      </c>
    </row>
    <row r="45" spans="2:19" x14ac:dyDescent="0.2">
      <c r="B45" s="121" t="s">
        <v>235</v>
      </c>
      <c r="C45" s="127">
        <v>2</v>
      </c>
      <c r="D45" s="127">
        <v>745</v>
      </c>
      <c r="E45" s="127">
        <f>Table2[[#This Row],[Quantity]]*Table2[[#This Row],[CTC]]</f>
        <v>1490</v>
      </c>
      <c r="F45" s="127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2109.84</v>
      </c>
      <c r="M45" s="127">
        <v>0</v>
      </c>
      <c r="N45" s="127">
        <v>0</v>
      </c>
      <c r="O45" s="127">
        <v>0</v>
      </c>
      <c r="P45" s="127">
        <v>0</v>
      </c>
      <c r="Q45" s="30">
        <f>SUM(Table2[[#This Row],[Apr-17]:[Mar-17]])</f>
        <v>3599.84</v>
      </c>
      <c r="R45" s="30">
        <f>Table2[[#This Row],[Total]]/$E$68</f>
        <v>55.967661691542297</v>
      </c>
      <c r="S45" s="123">
        <f>Table2[[#This Row],[USD]]*$C$68</f>
        <v>52.609601990049754</v>
      </c>
    </row>
    <row r="46" spans="2:19" x14ac:dyDescent="0.2">
      <c r="B46" s="121" t="s">
        <v>236</v>
      </c>
      <c r="C46" s="127">
        <v>2</v>
      </c>
      <c r="D46" s="127">
        <v>2232</v>
      </c>
      <c r="E46" s="127">
        <v>0</v>
      </c>
      <c r="F46" s="127">
        <v>0</v>
      </c>
      <c r="G46" s="127">
        <v>0</v>
      </c>
      <c r="H46" s="127">
        <v>0</v>
      </c>
      <c r="I46" s="127">
        <v>837</v>
      </c>
      <c r="J46" s="127">
        <v>8265</v>
      </c>
      <c r="K46" s="127">
        <v>0</v>
      </c>
      <c r="L46" s="127">
        <v>2964</v>
      </c>
      <c r="M46" s="127">
        <v>0</v>
      </c>
      <c r="N46" s="127">
        <v>0</v>
      </c>
      <c r="O46" s="127">
        <v>0</v>
      </c>
      <c r="P46" s="127">
        <v>0</v>
      </c>
      <c r="Q46" s="30">
        <f>SUM(Table2[[#This Row],[Apr-17]:[Mar-17]])</f>
        <v>12066</v>
      </c>
      <c r="R46" s="30">
        <f>Table2[[#This Row],[Total]]/$E$68</f>
        <v>187.59328358208958</v>
      </c>
      <c r="S46" s="123">
        <f>Table2[[#This Row],[USD]]*$C$68</f>
        <v>176.33768656716421</v>
      </c>
    </row>
    <row r="47" spans="2:19" x14ac:dyDescent="0.2">
      <c r="B47" s="121" t="s">
        <v>237</v>
      </c>
      <c r="C47" s="127">
        <v>1</v>
      </c>
      <c r="D47" s="127">
        <v>1424.11</v>
      </c>
      <c r="E47" s="127">
        <v>0</v>
      </c>
      <c r="F47" s="127">
        <v>0</v>
      </c>
      <c r="G47" s="127">
        <f>Table2[[#This Row],[Quantity]]*Table2[[#This Row],[CTC]]</f>
        <v>1424.11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30">
        <f>SUM(Table2[[#This Row],[Apr-17]:[Mar-17]])</f>
        <v>1424.11</v>
      </c>
      <c r="R47" s="30">
        <f>Table2[[#This Row],[Total]]/$E$68</f>
        <v>22.141013681592039</v>
      </c>
      <c r="S47" s="123">
        <f>Table2[[#This Row],[USD]]*$C$68</f>
        <v>20.812552860696517</v>
      </c>
    </row>
    <row r="48" spans="2:19" x14ac:dyDescent="0.2">
      <c r="B48" s="121" t="s">
        <v>238</v>
      </c>
      <c r="C48" s="127">
        <v>2</v>
      </c>
      <c r="D48" s="127">
        <v>2232</v>
      </c>
      <c r="E48" s="127">
        <v>0</v>
      </c>
      <c r="F48" s="127">
        <v>0</v>
      </c>
      <c r="G48" s="127">
        <v>0</v>
      </c>
      <c r="H48" s="127">
        <f>Table2[[#This Row],[Quantity]]*Table2[[#This Row],[CTC]]</f>
        <v>4464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30">
        <f>SUM(Table2[[#This Row],[Apr-17]:[Mar-17]])</f>
        <v>4464</v>
      </c>
      <c r="R48" s="30">
        <f>Table2[[#This Row],[Total]]/$E$68</f>
        <v>69.402985074626869</v>
      </c>
      <c r="S48" s="123">
        <f>Table2[[#This Row],[USD]]*$C$68</f>
        <v>65.238805970149258</v>
      </c>
    </row>
    <row r="49" spans="2:19" x14ac:dyDescent="0.2">
      <c r="B49" s="121" t="s">
        <v>239</v>
      </c>
      <c r="C49" s="127">
        <v>0</v>
      </c>
      <c r="D49" s="127">
        <v>0</v>
      </c>
      <c r="E49" s="127">
        <v>0</v>
      </c>
      <c r="F49" s="18">
        <v>956.99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30">
        <f>SUM(Table2[[#This Row],[Apr-17]:[Mar-17]])</f>
        <v>956.99</v>
      </c>
      <c r="R49" s="30">
        <f>Table2[[#This Row],[Total]]/$E$68</f>
        <v>14.878575870646769</v>
      </c>
      <c r="S49" s="123">
        <f>Table2[[#This Row],[USD]]*$C$68</f>
        <v>13.985861318407961</v>
      </c>
    </row>
    <row r="50" spans="2:19" s="128" customFormat="1" x14ac:dyDescent="0.2">
      <c r="B50" s="121" t="s">
        <v>240</v>
      </c>
      <c r="C50" s="127">
        <v>1</v>
      </c>
      <c r="D50" s="127">
        <v>3317.64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3325.29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30">
        <f>SUM(Table2[[#This Row],[Apr-17]:[Mar-17]])</f>
        <v>3325.29</v>
      </c>
      <c r="R50" s="30">
        <f>Table2[[#This Row],[Total]]/$E$68</f>
        <v>51.699160447761201</v>
      </c>
      <c r="S50" s="123">
        <f>Table2[[#This Row],[USD]]*$C$68</f>
        <v>48.597210820895526</v>
      </c>
    </row>
    <row r="51" spans="2:19" s="128" customFormat="1" x14ac:dyDescent="0.2">
      <c r="B51" s="121" t="s">
        <v>347</v>
      </c>
      <c r="C51" s="127">
        <v>0</v>
      </c>
      <c r="D51" s="127">
        <v>0</v>
      </c>
      <c r="E51" s="127">
        <v>0</v>
      </c>
      <c r="F51" s="127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2602</v>
      </c>
      <c r="M51" s="127">
        <v>0</v>
      </c>
      <c r="N51" s="127">
        <v>0</v>
      </c>
      <c r="O51" s="127">
        <v>0</v>
      </c>
      <c r="P51" s="127">
        <v>0</v>
      </c>
      <c r="Q51" s="30">
        <f>SUM(Table2[[#This Row],[Apr-17]:[Mar-17]])</f>
        <v>2602</v>
      </c>
      <c r="R51" s="30">
        <f>Table2[[#This Row],[Total]]/$E$68</f>
        <v>40.453980099502495</v>
      </c>
      <c r="S51" s="123">
        <f>Table2[[#This Row],[USD]]*$C$68</f>
        <v>38.026741293532346</v>
      </c>
    </row>
    <row r="52" spans="2:19" s="128" customFormat="1" x14ac:dyDescent="0.2">
      <c r="B52" s="121" t="s">
        <v>417</v>
      </c>
      <c r="C52" s="127">
        <v>0</v>
      </c>
      <c r="D52" s="127">
        <v>0</v>
      </c>
      <c r="E52" s="127">
        <v>0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733.35</v>
      </c>
      <c r="N52" s="127">
        <v>0</v>
      </c>
      <c r="O52" s="127">
        <v>0</v>
      </c>
      <c r="P52" s="127">
        <v>0</v>
      </c>
      <c r="Q52" s="30">
        <f>SUM(Table2[[#This Row],[Apr-17]:[Mar-17]])</f>
        <v>733.35</v>
      </c>
      <c r="R52" s="30">
        <f>Table2[[#This Row],[Total]]/$E$68</f>
        <v>11.401585820895525</v>
      </c>
      <c r="S52" s="123">
        <f>Table2[[#This Row],[USD]]*$C$68</f>
        <v>10.717490671641793</v>
      </c>
    </row>
    <row r="53" spans="2:19" x14ac:dyDescent="0.2">
      <c r="B53" s="121" t="s">
        <v>222</v>
      </c>
      <c r="C53" s="127">
        <v>12</v>
      </c>
      <c r="D53" s="127">
        <v>1000</v>
      </c>
      <c r="E53" s="127">
        <v>7000</v>
      </c>
      <c r="F53" s="127">
        <v>0</v>
      </c>
      <c r="G53" s="127">
        <v>0</v>
      </c>
      <c r="H53" s="127">
        <v>0</v>
      </c>
      <c r="I53" s="127">
        <v>0</v>
      </c>
      <c r="J53" s="127">
        <v>0</v>
      </c>
      <c r="K53" s="127">
        <v>0</v>
      </c>
      <c r="L53" s="127">
        <v>3889</v>
      </c>
      <c r="M53" s="127">
        <v>0</v>
      </c>
      <c r="N53" s="127">
        <v>0</v>
      </c>
      <c r="O53" s="127">
        <v>0</v>
      </c>
      <c r="P53" s="127">
        <v>0</v>
      </c>
      <c r="Q53" s="30">
        <f>SUM(Table2[[#This Row],[Apr-17]:[Mar-17]])</f>
        <v>10889</v>
      </c>
      <c r="R53" s="30">
        <f>Table2[[#This Row],[Total]]/$E$68</f>
        <v>169.29415422885575</v>
      </c>
      <c r="S53" s="123">
        <f>Table2[[#This Row],[USD]]*$C$68</f>
        <v>159.13650497512438</v>
      </c>
    </row>
    <row r="54" spans="2:19" x14ac:dyDescent="0.2">
      <c r="B54" s="108" t="s">
        <v>38</v>
      </c>
      <c r="C54" s="124"/>
      <c r="D54" s="124"/>
      <c r="E54" s="125">
        <f>SUM(E55:E62)</f>
        <v>580148.5</v>
      </c>
      <c r="F54" s="125">
        <f>SUM(F55:F62)</f>
        <v>12678.369999999999</v>
      </c>
      <c r="G54" s="125">
        <f>SUM(G55:G62)</f>
        <v>29333.5</v>
      </c>
      <c r="H54" s="125">
        <f>SUM(H55:H62)</f>
        <v>15607</v>
      </c>
      <c r="I54" s="125">
        <f>SUM(I55:I62)</f>
        <v>10640</v>
      </c>
      <c r="J54" s="125">
        <f t="shared" ref="J54:P54" si="7">SUM(J55:J62)</f>
        <v>23862.6</v>
      </c>
      <c r="K54" s="125">
        <f t="shared" si="7"/>
        <v>45228.2</v>
      </c>
      <c r="L54" s="125">
        <f t="shared" si="7"/>
        <v>44354.6</v>
      </c>
      <c r="M54" s="125">
        <f t="shared" si="7"/>
        <v>12794.428571428572</v>
      </c>
      <c r="N54" s="125">
        <f t="shared" si="7"/>
        <v>6811.4285714285716</v>
      </c>
      <c r="O54" s="125">
        <f t="shared" si="7"/>
        <v>6811.4285714285716</v>
      </c>
      <c r="P54" s="125">
        <f t="shared" si="7"/>
        <v>6811.4285714285716</v>
      </c>
      <c r="Q54" s="125">
        <f>SUM(Table2[[#This Row],[Apr-17]:[Mar-17]])</f>
        <v>795081.48428571399</v>
      </c>
      <c r="R54" s="125">
        <f>Table2[[#This Row],[Total]]/$E$68</f>
        <v>12361.341484541574</v>
      </c>
      <c r="S54" s="126">
        <f>Table2[[#This Row],[USD]]*$C$68</f>
        <v>11619.660995469079</v>
      </c>
    </row>
    <row r="55" spans="2:19" x14ac:dyDescent="0.2">
      <c r="B55" s="121" t="s">
        <v>241</v>
      </c>
      <c r="C55" s="18">
        <v>2</v>
      </c>
      <c r="D55" s="18">
        <v>0</v>
      </c>
      <c r="E55" s="18">
        <v>27845.5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30">
        <f>SUM(Table2[[#This Row],[Apr-17]:[Mar-17]])</f>
        <v>27845.5</v>
      </c>
      <c r="R55" s="30">
        <f>Table2[[#This Row],[Total]]/$E$68</f>
        <v>432.92133084577119</v>
      </c>
      <c r="S55" s="123">
        <f>Table2[[#This Row],[USD]]*$C$68</f>
        <v>406.9460509950249</v>
      </c>
    </row>
    <row r="56" spans="2:19" x14ac:dyDescent="0.2">
      <c r="B56" s="121" t="s">
        <v>26</v>
      </c>
      <c r="C56" s="18">
        <v>1</v>
      </c>
      <c r="D56" s="18">
        <v>0</v>
      </c>
      <c r="E56" s="18">
        <f>414000+90000</f>
        <v>504000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30">
        <f>SUM(Table2[[#This Row],[Apr-17]:[Mar-17]])</f>
        <v>504000</v>
      </c>
      <c r="R56" s="30">
        <f>Table2[[#This Row],[Total]]/$E$68</f>
        <v>7835.820895522389</v>
      </c>
      <c r="S56" s="123">
        <f>Table2[[#This Row],[USD]]*$C$68</f>
        <v>7365.6716417910457</v>
      </c>
    </row>
    <row r="57" spans="2:19" x14ac:dyDescent="0.2">
      <c r="B57" s="121" t="s">
        <v>242</v>
      </c>
      <c r="C57" s="18">
        <v>7</v>
      </c>
      <c r="D57" s="18">
        <f>2900*1.135</f>
        <v>3291.5</v>
      </c>
      <c r="E57" s="127">
        <f>Table2[[#This Row],[Quantity]]*Table2[[#This Row],[CTC]]</f>
        <v>23040.5</v>
      </c>
      <c r="F57" s="18">
        <v>0</v>
      </c>
      <c r="G57" s="18">
        <v>0</v>
      </c>
      <c r="H57" s="18">
        <v>5000</v>
      </c>
      <c r="I57" s="18">
        <v>0</v>
      </c>
      <c r="J57" s="18">
        <v>10548.6</v>
      </c>
      <c r="K57" s="18">
        <v>7424</v>
      </c>
      <c r="L57" s="18">
        <f>3523.6+10266</f>
        <v>13789.6</v>
      </c>
      <c r="M57" s="18">
        <v>0</v>
      </c>
      <c r="N57" s="18">
        <v>0</v>
      </c>
      <c r="O57" s="18">
        <v>0</v>
      </c>
      <c r="P57" s="18">
        <v>0</v>
      </c>
      <c r="Q57" s="30">
        <f>SUM(Table2[[#This Row],[Apr-17]:[Mar-17]])</f>
        <v>59802.7</v>
      </c>
      <c r="R57" s="30">
        <f>Table2[[#This Row],[Total]]/$E$68</f>
        <v>929.76834577114437</v>
      </c>
      <c r="S57" s="123">
        <f>Table2[[#This Row],[USD]]*$C$68</f>
        <v>873.98224502487562</v>
      </c>
    </row>
    <row r="58" spans="2:19" x14ac:dyDescent="0.2">
      <c r="B58" s="121" t="s">
        <v>348</v>
      </c>
      <c r="C58" s="18">
        <v>2</v>
      </c>
      <c r="D58" s="18">
        <v>0</v>
      </c>
      <c r="E58" s="18">
        <f>5175+4570</f>
        <v>9745</v>
      </c>
      <c r="F58" s="18">
        <v>0</v>
      </c>
      <c r="G58" s="18">
        <f>16223+1000</f>
        <v>17223</v>
      </c>
      <c r="H58" s="18">
        <f>922+1038</f>
        <v>1960</v>
      </c>
      <c r="I58" s="18">
        <v>1857</v>
      </c>
      <c r="J58" s="18">
        <f>2360</f>
        <v>2360</v>
      </c>
      <c r="K58" s="18">
        <f>2360+14444</f>
        <v>16804</v>
      </c>
      <c r="L58" s="18">
        <v>2360</v>
      </c>
      <c r="M58" s="18">
        <v>3147</v>
      </c>
      <c r="N58" s="18">
        <v>2000</v>
      </c>
      <c r="O58" s="18">
        <v>2000</v>
      </c>
      <c r="P58" s="18">
        <v>2000</v>
      </c>
      <c r="Q58" s="30">
        <f>SUM(Table2[[#This Row],[Apr-17]:[Mar-17]])</f>
        <v>61456</v>
      </c>
      <c r="R58" s="30">
        <f>Table2[[#This Row],[Total]]/$E$68</f>
        <v>955.47263681592051</v>
      </c>
      <c r="S58" s="123">
        <f>Table2[[#This Row],[USD]]*$C$68</f>
        <v>898.14427860696526</v>
      </c>
    </row>
    <row r="59" spans="2:19" x14ac:dyDescent="0.2">
      <c r="B59" s="121" t="s">
        <v>349</v>
      </c>
      <c r="C59" s="18">
        <v>1</v>
      </c>
      <c r="D59" s="18">
        <v>0</v>
      </c>
      <c r="E59" s="29">
        <v>0</v>
      </c>
      <c r="F59" s="29">
        <v>4495</v>
      </c>
      <c r="G59" s="29">
        <v>4495</v>
      </c>
      <c r="H59" s="29">
        <v>3430</v>
      </c>
      <c r="I59" s="29">
        <v>4430</v>
      </c>
      <c r="J59" s="29">
        <v>5470</v>
      </c>
      <c r="K59" s="29">
        <v>5510</v>
      </c>
      <c r="L59" s="29">
        <v>5850</v>
      </c>
      <c r="M59" s="29">
        <f>AVERAGE(Table2[[#This Row],[May-17]:[Nov-17]])</f>
        <v>4811.4285714285716</v>
      </c>
      <c r="N59" s="18">
        <f>Table2[[#This Row],[Dec-17]]</f>
        <v>4811.4285714285716</v>
      </c>
      <c r="O59" s="18">
        <f>Table2[[#This Row],[Jan-17]]</f>
        <v>4811.4285714285716</v>
      </c>
      <c r="P59" s="18">
        <f>Table2[[#This Row],[Feb-17]]</f>
        <v>4811.4285714285716</v>
      </c>
      <c r="Q59" s="30">
        <f>SUM(Table2[[#This Row],[Apr-17]:[Mar-17]])</f>
        <v>52925.71428571429</v>
      </c>
      <c r="R59" s="30">
        <f>Table2[[#This Row],[Total]]/$E$68</f>
        <v>822.85003553660283</v>
      </c>
      <c r="S59" s="123">
        <f>Table2[[#This Row],[USD]]*$C$68</f>
        <v>773.47903340440666</v>
      </c>
    </row>
    <row r="60" spans="2:19" x14ac:dyDescent="0.2">
      <c r="B60" s="121" t="s">
        <v>243</v>
      </c>
      <c r="C60" s="18">
        <v>0</v>
      </c>
      <c r="D60" s="18">
        <v>0</v>
      </c>
      <c r="E60" s="18">
        <v>15000</v>
      </c>
      <c r="F60" s="18">
        <v>5268.99</v>
      </c>
      <c r="G60" s="18">
        <v>5322</v>
      </c>
      <c r="H60" s="18">
        <v>1945</v>
      </c>
      <c r="I60" s="18">
        <v>1950</v>
      </c>
      <c r="J60" s="18">
        <v>1727</v>
      </c>
      <c r="K60" s="18">
        <v>1200</v>
      </c>
      <c r="L60" s="29">
        <v>16524</v>
      </c>
      <c r="M60" s="18">
        <v>0</v>
      </c>
      <c r="N60" s="18">
        <v>0</v>
      </c>
      <c r="O60" s="18">
        <v>0</v>
      </c>
      <c r="P60" s="18">
        <v>0</v>
      </c>
      <c r="Q60" s="30">
        <f>SUM(Table2[[#This Row],[Apr-17]:[Mar-17]])</f>
        <v>48936.99</v>
      </c>
      <c r="R60" s="30">
        <f>Table2[[#This Row],[Total]]/$E$68</f>
        <v>760.83628731343288</v>
      </c>
      <c r="S60" s="123">
        <f>Table2[[#This Row],[USD]]*$C$68</f>
        <v>715.18611007462687</v>
      </c>
    </row>
    <row r="61" spans="2:19" x14ac:dyDescent="0.2">
      <c r="B61" s="121" t="s">
        <v>244</v>
      </c>
      <c r="C61" s="18">
        <v>2</v>
      </c>
      <c r="D61" s="18">
        <v>0</v>
      </c>
      <c r="E61" s="18">
        <v>517.5</v>
      </c>
      <c r="F61" s="18">
        <v>1206.3800000000001</v>
      </c>
      <c r="G61" s="18">
        <v>1207.5</v>
      </c>
      <c r="H61" s="18">
        <v>0</v>
      </c>
      <c r="I61" s="18">
        <v>59</v>
      </c>
      <c r="J61" s="18">
        <v>59</v>
      </c>
      <c r="K61" s="18">
        <v>59</v>
      </c>
      <c r="L61" s="18">
        <v>59</v>
      </c>
      <c r="M61" s="18">
        <v>59</v>
      </c>
      <c r="N61" s="18">
        <v>0</v>
      </c>
      <c r="O61" s="18">
        <v>0</v>
      </c>
      <c r="P61" s="18">
        <v>0</v>
      </c>
      <c r="Q61" s="30">
        <f>SUM(Table2[[#This Row],[Apr-17]:[Mar-17]])</f>
        <v>3226.38</v>
      </c>
      <c r="R61" s="30">
        <f>Table2[[#This Row],[Total]]/$E$68</f>
        <v>50.161380597014933</v>
      </c>
      <c r="S61" s="123">
        <f>Table2[[#This Row],[USD]]*$C$68</f>
        <v>47.151697761194036</v>
      </c>
    </row>
    <row r="62" spans="2:19" x14ac:dyDescent="0.2">
      <c r="B62" s="121" t="s">
        <v>245</v>
      </c>
      <c r="C62" s="18"/>
      <c r="D62" s="18"/>
      <c r="E62" s="18"/>
      <c r="F62" s="18">
        <v>1708</v>
      </c>
      <c r="G62" s="18">
        <v>1086</v>
      </c>
      <c r="H62" s="18">
        <f>4752-2*740</f>
        <v>3272</v>
      </c>
      <c r="I62" s="18">
        <v>2344</v>
      </c>
      <c r="J62" s="18">
        <v>3698</v>
      </c>
      <c r="K62" s="18">
        <v>14231.2</v>
      </c>
      <c r="L62" s="18">
        <f>2332+3440</f>
        <v>5772</v>
      </c>
      <c r="M62" s="18">
        <v>4777</v>
      </c>
      <c r="N62" s="18">
        <v>0</v>
      </c>
      <c r="O62" s="18">
        <v>0</v>
      </c>
      <c r="P62" s="18">
        <v>0</v>
      </c>
      <c r="Q62" s="30">
        <f>SUM(Table2[[#This Row],[Apr-17]:[Mar-17]])</f>
        <v>36888.199999999997</v>
      </c>
      <c r="R62" s="30">
        <f>Table2[[#This Row],[Total]]/$E$68</f>
        <v>573.51057213930346</v>
      </c>
      <c r="S62" s="123">
        <f>Table2[[#This Row],[USD]]*$C$68</f>
        <v>539.09993781094522</v>
      </c>
    </row>
    <row r="63" spans="2:19" x14ac:dyDescent="0.2">
      <c r="B63" s="270" t="s">
        <v>262</v>
      </c>
      <c r="C63" s="271"/>
      <c r="D63" s="271"/>
      <c r="E63" s="271">
        <f t="shared" ref="E63:P63" si="8">E3+E7+E19+E54</f>
        <v>1365520.17</v>
      </c>
      <c r="F63" s="271">
        <f t="shared" si="8"/>
        <v>80835.360000000001</v>
      </c>
      <c r="G63" s="271">
        <f t="shared" si="8"/>
        <v>87957.61</v>
      </c>
      <c r="H63" s="271">
        <f t="shared" si="8"/>
        <v>103146</v>
      </c>
      <c r="I63" s="271">
        <f t="shared" si="8"/>
        <v>114165</v>
      </c>
      <c r="J63" s="271">
        <f t="shared" si="8"/>
        <v>129291.42000000001</v>
      </c>
      <c r="K63" s="271">
        <f t="shared" si="8"/>
        <v>189348.2</v>
      </c>
      <c r="L63" s="271">
        <f t="shared" si="8"/>
        <v>333401.19999999995</v>
      </c>
      <c r="M63" s="271">
        <f t="shared" si="8"/>
        <v>158727.77857142859</v>
      </c>
      <c r="N63" s="271">
        <f t="shared" si="8"/>
        <v>175011.42857142858</v>
      </c>
      <c r="O63" s="271">
        <f t="shared" si="8"/>
        <v>175011.42857142858</v>
      </c>
      <c r="P63" s="271">
        <f t="shared" si="8"/>
        <v>175011.42857142858</v>
      </c>
      <c r="Q63" s="271">
        <f>SUBTOTAL(109,Table2[Total])</f>
        <v>6017704.1585714286</v>
      </c>
      <c r="R63" s="271">
        <f>Table2[[#Totals],[Total]]/E68</f>
        <v>93558.833311122973</v>
      </c>
      <c r="S63" s="272">
        <f>SUBTOTAL(109,Table2[Euro])</f>
        <v>77247.542118425743</v>
      </c>
    </row>
    <row r="64" spans="2:19" x14ac:dyDescent="0.2">
      <c r="B64" s="108" t="s">
        <v>263</v>
      </c>
      <c r="C64" s="130"/>
      <c r="D64" s="130"/>
      <c r="E64" s="125">
        <f>Table2[[#Totals],[Apr-17]]/$E$68</f>
        <v>21230.102145522389</v>
      </c>
      <c r="F64" s="125">
        <f>Table2[[#Totals],[May-17]]/$E$68</f>
        <v>1256.768656716418</v>
      </c>
      <c r="G64" s="125">
        <f>Table2[[#Totals],[Jun-17]]/$E$68</f>
        <v>1367.5001554726371</v>
      </c>
      <c r="H64" s="125">
        <f>Table2[[#Totals],[Jul-17]]/$E$68</f>
        <v>1603.6380597014927</v>
      </c>
      <c r="I64" s="125">
        <f>Table2[[#Totals],[Aug-17]]/$E$68</f>
        <v>1774.9533582089555</v>
      </c>
      <c r="J64" s="125">
        <f>Table2[[#Totals],[Sep-17]]/$E$68</f>
        <v>2010.127798507463</v>
      </c>
      <c r="K64" s="125">
        <f>Table2[[#Totals],[Oct-17]]/$E$68</f>
        <v>2943.8463930348262</v>
      </c>
      <c r="L64" s="125">
        <f>Table2[[#Totals],[Nov-17]]/$E$68</f>
        <v>5183.476368159204</v>
      </c>
      <c r="M64" s="125">
        <f>Table2[[#Totals],[Dec-17]]/$E$68</f>
        <v>2467.7826270433552</v>
      </c>
      <c r="N64" s="125">
        <f>Table2[[#Totals],[Jan-17]]/$E$68</f>
        <v>2720.9488272921112</v>
      </c>
      <c r="O64" s="125">
        <f>Table2[[#Totals],[Feb-17]]/$E$68</f>
        <v>2720.9488272921112</v>
      </c>
      <c r="P64" s="125">
        <f>Table2[[#Totals],[Mar-17]]/$E$68</f>
        <v>2720.9488272921112</v>
      </c>
      <c r="Q64" s="131">
        <f>SUM(E64:P64)</f>
        <v>48001.04204424307</v>
      </c>
      <c r="R64" s="23"/>
      <c r="S64" s="132"/>
    </row>
    <row r="65" spans="2:19" ht="12.75" thickBot="1" x14ac:dyDescent="0.25">
      <c r="B65" s="133" t="s">
        <v>264</v>
      </c>
      <c r="C65" s="134"/>
      <c r="D65" s="134"/>
      <c r="E65" s="135">
        <f t="shared" ref="E65:P65" si="9">E64*$C$68</f>
        <v>19956.296016791046</v>
      </c>
      <c r="F65" s="135">
        <f t="shared" si="9"/>
        <v>1181.362537313433</v>
      </c>
      <c r="G65" s="135">
        <f t="shared" si="9"/>
        <v>1285.4501461442787</v>
      </c>
      <c r="H65" s="135">
        <f t="shared" si="9"/>
        <v>1507.419776119403</v>
      </c>
      <c r="I65" s="135">
        <f t="shared" si="9"/>
        <v>1668.456156716418</v>
      </c>
      <c r="J65" s="135">
        <f t="shared" si="9"/>
        <v>1889.5201305970152</v>
      </c>
      <c r="K65" s="135">
        <f t="shared" si="9"/>
        <v>2767.2156094527363</v>
      </c>
      <c r="L65" s="135">
        <f t="shared" si="9"/>
        <v>4872.4677860696511</v>
      </c>
      <c r="M65" s="135">
        <f t="shared" si="9"/>
        <v>2319.7156694207538</v>
      </c>
      <c r="N65" s="135">
        <f t="shared" si="9"/>
        <v>2557.6918976545844</v>
      </c>
      <c r="O65" s="135">
        <f t="shared" si="9"/>
        <v>2557.6918976545844</v>
      </c>
      <c r="P65" s="135">
        <f t="shared" si="9"/>
        <v>2557.6918976545844</v>
      </c>
      <c r="Q65" s="136">
        <f>SUM(E65:P65)</f>
        <v>45120.979521588495</v>
      </c>
      <c r="R65" s="137"/>
      <c r="S65" s="138"/>
    </row>
    <row r="67" spans="2:19" ht="12.75" x14ac:dyDescent="0.2">
      <c r="C67" s="139" t="s">
        <v>11</v>
      </c>
      <c r="D67" s="140" t="s">
        <v>10</v>
      </c>
      <c r="E67" s="140" t="s">
        <v>265</v>
      </c>
    </row>
    <row r="68" spans="2:19" ht="12.75" x14ac:dyDescent="0.2">
      <c r="C68" s="139">
        <v>0.94</v>
      </c>
      <c r="D68" s="140">
        <v>1</v>
      </c>
      <c r="E68" s="140">
        <v>64.319999999999993</v>
      </c>
    </row>
  </sheetData>
  <mergeCells count="2">
    <mergeCell ref="N1:P1"/>
    <mergeCell ref="E1:M1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4" sqref="C4:C11"/>
    </sheetView>
  </sheetViews>
  <sheetFormatPr defaultRowHeight="15" x14ac:dyDescent="0.25"/>
  <cols>
    <col min="2" max="2" width="9.28515625" bestFit="1" customWidth="1"/>
    <col min="3" max="3" width="10.42578125" bestFit="1" customWidth="1"/>
    <col min="4" max="4" width="15" bestFit="1" customWidth="1"/>
    <col min="5" max="5" width="13.140625" bestFit="1" customWidth="1"/>
    <col min="6" max="6" width="13.42578125" bestFit="1" customWidth="1"/>
  </cols>
  <sheetData>
    <row r="2" spans="2:6" x14ac:dyDescent="0.25">
      <c r="B2" t="s">
        <v>381</v>
      </c>
      <c r="C2" t="s">
        <v>175</v>
      </c>
      <c r="D2" t="s">
        <v>382</v>
      </c>
      <c r="E2" t="s">
        <v>380</v>
      </c>
      <c r="F2" t="s">
        <v>379</v>
      </c>
    </row>
    <row r="3" spans="2:6" x14ac:dyDescent="0.25">
      <c r="B3" s="229">
        <v>42842</v>
      </c>
      <c r="F3">
        <f>Table13[[#This Row],[Actual Paid]]-Table13[[#This Row],[Total amount]]</f>
        <v>0</v>
      </c>
    </row>
    <row r="4" spans="2:6" x14ac:dyDescent="0.25">
      <c r="B4" s="229">
        <v>42872</v>
      </c>
      <c r="C4">
        <v>4495</v>
      </c>
      <c r="F4">
        <f>Table13[[#This Row],[Actual Paid]]-Table13[[#This Row],[Total amount]]</f>
        <v>0</v>
      </c>
    </row>
    <row r="5" spans="2:6" x14ac:dyDescent="0.25">
      <c r="B5" s="229">
        <v>42887</v>
      </c>
      <c r="C5">
        <v>4495</v>
      </c>
      <c r="D5">
        <v>13990</v>
      </c>
      <c r="E5">
        <v>14030</v>
      </c>
      <c r="F5">
        <f>Table13[[#This Row],[Actual Paid]]-Table13[[#This Row],[Total amount]]</f>
        <v>40</v>
      </c>
    </row>
    <row r="6" spans="2:6" x14ac:dyDescent="0.25">
      <c r="B6" s="229">
        <v>42917</v>
      </c>
      <c r="C6">
        <f>D6-D5</f>
        <v>3430</v>
      </c>
      <c r="D6">
        <v>17420</v>
      </c>
      <c r="E6">
        <v>17460</v>
      </c>
      <c r="F6">
        <f>Table13[[#This Row],[Actual Paid]]-Table13[[#This Row],[Total amount]]</f>
        <v>40</v>
      </c>
    </row>
    <row r="7" spans="2:6" x14ac:dyDescent="0.25">
      <c r="B7" s="229">
        <v>42948</v>
      </c>
      <c r="C7">
        <f>D7-D6</f>
        <v>4430</v>
      </c>
      <c r="D7">
        <v>21850</v>
      </c>
      <c r="E7">
        <v>21900</v>
      </c>
      <c r="F7">
        <f>Table13[[#This Row],[Actual Paid]]-Table13[[#This Row],[Total amount]]</f>
        <v>50</v>
      </c>
    </row>
    <row r="8" spans="2:6" x14ac:dyDescent="0.25">
      <c r="B8" s="229">
        <v>42979</v>
      </c>
      <c r="C8">
        <f>D8-D7</f>
        <v>5470</v>
      </c>
      <c r="D8">
        <v>27320</v>
      </c>
      <c r="E8">
        <v>27380</v>
      </c>
      <c r="F8">
        <f>Table13[[#This Row],[Actual Paid]]-Table13[[#This Row],[Total amount]]</f>
        <v>60</v>
      </c>
    </row>
    <row r="9" spans="2:6" x14ac:dyDescent="0.25">
      <c r="B9" s="229">
        <v>43009</v>
      </c>
      <c r="C9">
        <f>D9-D8</f>
        <v>5510</v>
      </c>
      <c r="D9">
        <v>32830</v>
      </c>
      <c r="E9">
        <v>32890</v>
      </c>
      <c r="F9">
        <f>Table13[[#This Row],[Actual Paid]]-Table13[[#This Row],[Total amount]]</f>
        <v>60</v>
      </c>
    </row>
    <row r="10" spans="2:6" x14ac:dyDescent="0.25">
      <c r="B10" s="229">
        <v>43040</v>
      </c>
      <c r="C10">
        <f>D10-D9</f>
        <v>5840</v>
      </c>
      <c r="D10">
        <v>38670</v>
      </c>
      <c r="E10">
        <v>38740</v>
      </c>
      <c r="F10">
        <f>Table13[[#This Row],[Actual Paid]]-Table13[[#This Row],[Total amount]]</f>
        <v>70</v>
      </c>
    </row>
    <row r="11" spans="2:6" x14ac:dyDescent="0.25">
      <c r="B11" s="229">
        <v>43070</v>
      </c>
      <c r="C11">
        <f>D10-C13</f>
        <v>5000</v>
      </c>
      <c r="D11">
        <v>0</v>
      </c>
      <c r="F11">
        <f>Table13[[#This Row],[Actual Paid]]-Table13[[#This Row],[Total amount]]</f>
        <v>0</v>
      </c>
    </row>
    <row r="12" spans="2:6" x14ac:dyDescent="0.25">
      <c r="B12" s="229"/>
      <c r="F12" s="164">
        <f>SUBTOTAL(109,Table13[Overcharge])</f>
        <v>320</v>
      </c>
    </row>
    <row r="13" spans="2:6" x14ac:dyDescent="0.25">
      <c r="C13">
        <v>33670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24" sqref="K24"/>
    </sheetView>
  </sheetViews>
  <sheetFormatPr defaultColWidth="9.140625" defaultRowHeight="12" x14ac:dyDescent="0.2"/>
  <cols>
    <col min="1" max="1" width="4.42578125" style="44" customWidth="1"/>
    <col min="2" max="2" width="7.42578125" style="90" bestFit="1" customWidth="1"/>
    <col min="3" max="3" width="8" style="44" customWidth="1"/>
    <col min="4" max="4" width="38.140625" style="44" bestFit="1" customWidth="1"/>
    <col min="5" max="5" width="15.5703125" style="44" bestFit="1" customWidth="1"/>
    <col min="6" max="7" width="6.5703125" style="44" bestFit="1" customWidth="1"/>
    <col min="8" max="8" width="7.7109375" style="44" bestFit="1" customWidth="1"/>
    <col min="9" max="9" width="6.85546875" style="44" bestFit="1" customWidth="1"/>
    <col min="10" max="10" width="13.42578125" style="44" bestFit="1" customWidth="1"/>
    <col min="11" max="11" width="9" style="44" bestFit="1" customWidth="1"/>
    <col min="12" max="12" width="9.28515625" style="44" bestFit="1" customWidth="1"/>
    <col min="13" max="13" width="9.5703125" style="44" bestFit="1" customWidth="1"/>
    <col min="14" max="14" width="7.28515625" style="44" bestFit="1" customWidth="1"/>
    <col min="15" max="15" width="15.42578125" style="44" bestFit="1" customWidth="1"/>
    <col min="16" max="16" width="9.7109375" style="44" bestFit="1" customWidth="1"/>
    <col min="17" max="16384" width="9.140625" style="44"/>
  </cols>
  <sheetData>
    <row r="1" spans="2:16" x14ac:dyDescent="0.2">
      <c r="B1" s="90" t="s">
        <v>0</v>
      </c>
      <c r="C1" s="44" t="s">
        <v>1</v>
      </c>
      <c r="D1" s="91"/>
    </row>
    <row r="2" spans="2:16" x14ac:dyDescent="0.2">
      <c r="C2" s="44" t="s">
        <v>2</v>
      </c>
      <c r="D2" s="92"/>
    </row>
    <row r="3" spans="2:16" ht="12.75" thickBot="1" x14ac:dyDescent="0.25">
      <c r="C3" s="44" t="s">
        <v>3</v>
      </c>
      <c r="D3" s="93"/>
    </row>
    <row r="4" spans="2:16" x14ac:dyDescent="0.2">
      <c r="I4" s="246" t="s">
        <v>4</v>
      </c>
      <c r="J4" s="247"/>
      <c r="K4" s="247"/>
      <c r="L4" s="247"/>
      <c r="M4" s="248"/>
    </row>
    <row r="5" spans="2:16" ht="36" customHeight="1" x14ac:dyDescent="0.2">
      <c r="B5" s="94" t="s">
        <v>6</v>
      </c>
      <c r="C5" s="95" t="s">
        <v>7</v>
      </c>
      <c r="D5" s="96" t="s">
        <v>8</v>
      </c>
      <c r="E5" s="96" t="s">
        <v>9</v>
      </c>
      <c r="F5" s="96" t="s">
        <v>10</v>
      </c>
      <c r="G5" s="96" t="s">
        <v>11</v>
      </c>
      <c r="H5" s="96" t="s">
        <v>12</v>
      </c>
      <c r="I5" s="97" t="s">
        <v>13</v>
      </c>
      <c r="J5" s="96" t="s">
        <v>14</v>
      </c>
      <c r="K5" s="96" t="s">
        <v>15</v>
      </c>
      <c r="L5" s="96" t="s">
        <v>16</v>
      </c>
      <c r="M5" s="98" t="s">
        <v>17</v>
      </c>
      <c r="N5" s="96" t="s">
        <v>18</v>
      </c>
      <c r="O5" s="96" t="s">
        <v>19</v>
      </c>
      <c r="P5" s="99" t="s">
        <v>20</v>
      </c>
    </row>
    <row r="6" spans="2:16" x14ac:dyDescent="0.2">
      <c r="B6" s="16">
        <v>1</v>
      </c>
      <c r="C6" s="16" t="s">
        <v>23</v>
      </c>
      <c r="D6" s="10" t="s">
        <v>24</v>
      </c>
      <c r="E6" s="17">
        <v>42536</v>
      </c>
      <c r="F6" s="18">
        <v>240</v>
      </c>
      <c r="G6" s="18">
        <v>221.05554020447636</v>
      </c>
      <c r="H6" s="18">
        <v>64.900000000000006</v>
      </c>
      <c r="I6" s="18"/>
      <c r="J6" s="18">
        <v>14346.504559270517</v>
      </c>
      <c r="K6" s="18">
        <v>14346.5</v>
      </c>
      <c r="L6" s="18">
        <f>Table54[[#This Row],[Credit]]-Table54[[#This Row],[Debit]]</f>
        <v>4.5592705173476133E-3</v>
      </c>
      <c r="M6" s="18">
        <f>Table547[[#This Row],[Difference]]</f>
        <v>4.5592705173476133E-3</v>
      </c>
      <c r="N6" s="18"/>
      <c r="O6" s="18" t="s">
        <v>25</v>
      </c>
      <c r="P6" s="18" t="s">
        <v>26</v>
      </c>
    </row>
    <row r="7" spans="2:16" x14ac:dyDescent="0.2">
      <c r="B7" s="16">
        <v>2</v>
      </c>
      <c r="C7" s="16" t="s">
        <v>23</v>
      </c>
      <c r="D7" s="10" t="s">
        <v>28</v>
      </c>
      <c r="E7" s="17">
        <v>42661</v>
      </c>
      <c r="F7" s="18"/>
      <c r="G7" s="18"/>
      <c r="H7" s="20">
        <v>0</v>
      </c>
      <c r="I7" s="20"/>
      <c r="J7" s="18"/>
      <c r="K7" s="21">
        <v>1200</v>
      </c>
      <c r="L7" s="18">
        <f>Table547[[#This Row],[Credit]]-Table547[[#This Row],[Debit]]</f>
        <v>-1200</v>
      </c>
      <c r="M7" s="18">
        <f>Table547[[#This Row],[Difference]]+M6</f>
        <v>-1199.9954407294827</v>
      </c>
      <c r="N7" s="18"/>
      <c r="O7" s="18" t="s">
        <v>29</v>
      </c>
      <c r="P7" s="18" t="s">
        <v>30</v>
      </c>
    </row>
    <row r="8" spans="2:16" x14ac:dyDescent="0.2">
      <c r="B8" s="16">
        <v>3</v>
      </c>
      <c r="C8" s="16" t="s">
        <v>23</v>
      </c>
      <c r="D8" s="10" t="s">
        <v>31</v>
      </c>
      <c r="E8" s="17">
        <v>42709</v>
      </c>
      <c r="F8" s="18"/>
      <c r="G8" s="18"/>
      <c r="H8" s="20">
        <v>0</v>
      </c>
      <c r="I8" s="20"/>
      <c r="J8" s="18"/>
      <c r="K8" s="21">
        <v>5400</v>
      </c>
      <c r="L8" s="18">
        <f>Table547[[#This Row],[Credit]]-Table547[[#This Row],[Debit]]</f>
        <v>-5400</v>
      </c>
      <c r="M8" s="18">
        <f>Table547[[#This Row],[Difference]]+M7</f>
        <v>-6599.9954407294827</v>
      </c>
      <c r="N8" s="18"/>
      <c r="O8" s="18" t="s">
        <v>29</v>
      </c>
      <c r="P8" s="18" t="s">
        <v>30</v>
      </c>
    </row>
    <row r="9" spans="2:16" x14ac:dyDescent="0.2">
      <c r="B9" s="16">
        <v>12</v>
      </c>
      <c r="C9" s="16" t="s">
        <v>23</v>
      </c>
      <c r="D9" s="10" t="s">
        <v>56</v>
      </c>
      <c r="E9" s="17">
        <v>42818</v>
      </c>
      <c r="F9" s="18"/>
      <c r="G9" s="18"/>
      <c r="H9" s="20">
        <v>0</v>
      </c>
      <c r="I9" s="20"/>
      <c r="J9" s="25">
        <v>10000</v>
      </c>
      <c r="K9" s="18"/>
      <c r="L9" s="18">
        <f>Table547[[#This Row],[Credit]]-Table547[[#This Row],[Debit]]</f>
        <v>10000</v>
      </c>
      <c r="M9" s="18">
        <f>Table547[[#This Row],[Difference]]+M8</f>
        <v>3400.0045592705173</v>
      </c>
      <c r="N9" s="29"/>
      <c r="O9" s="18" t="s">
        <v>57</v>
      </c>
      <c r="P9" s="18" t="s">
        <v>48</v>
      </c>
    </row>
    <row r="10" spans="2:16" x14ac:dyDescent="0.2">
      <c r="B10" s="16">
        <v>42</v>
      </c>
      <c r="C10" s="16" t="s">
        <v>23</v>
      </c>
      <c r="D10" s="10" t="s">
        <v>96</v>
      </c>
      <c r="E10" s="17">
        <v>42871</v>
      </c>
      <c r="F10" s="18"/>
      <c r="G10" s="18"/>
      <c r="H10" s="20">
        <v>0</v>
      </c>
      <c r="I10" s="20"/>
      <c r="J10" s="18"/>
      <c r="K10" s="18">
        <v>28.75</v>
      </c>
      <c r="L10" s="18">
        <f>Table547[[#This Row],[Credit]]-Table547[[#This Row],[Debit]]</f>
        <v>-28.75</v>
      </c>
      <c r="M10" s="18">
        <f>Table547[[#This Row],[Difference]]+M9</f>
        <v>3371.2545592705173</v>
      </c>
      <c r="N10" s="18"/>
      <c r="O10" s="18" t="s">
        <v>81</v>
      </c>
      <c r="P10" s="18" t="s">
        <v>82</v>
      </c>
    </row>
    <row r="11" spans="2:16" x14ac:dyDescent="0.2">
      <c r="B11" s="16">
        <v>45</v>
      </c>
      <c r="C11" s="16" t="s">
        <v>23</v>
      </c>
      <c r="D11" s="10" t="s">
        <v>97</v>
      </c>
      <c r="E11" s="17">
        <v>42872</v>
      </c>
      <c r="F11" s="18"/>
      <c r="G11" s="18"/>
      <c r="H11" s="20">
        <v>0</v>
      </c>
      <c r="I11" s="20"/>
      <c r="J11" s="18"/>
      <c r="K11" s="18">
        <v>287.5</v>
      </c>
      <c r="L11" s="18">
        <f>Table547[[#This Row],[Credit]]-Table547[[#This Row],[Debit]]</f>
        <v>-287.5</v>
      </c>
      <c r="M11" s="18">
        <f>Table547[[#This Row],[Difference]]+M10</f>
        <v>3083.7545592705173</v>
      </c>
      <c r="N11" s="18"/>
      <c r="O11" s="18" t="s">
        <v>81</v>
      </c>
      <c r="P11" s="18" t="s">
        <v>82</v>
      </c>
    </row>
    <row r="12" spans="2:16" x14ac:dyDescent="0.2">
      <c r="B12" s="16">
        <v>47</v>
      </c>
      <c r="C12" s="16" t="s">
        <v>23</v>
      </c>
      <c r="D12" s="10" t="s">
        <v>99</v>
      </c>
      <c r="E12" s="17">
        <v>42874</v>
      </c>
      <c r="F12" s="18"/>
      <c r="G12" s="18"/>
      <c r="H12" s="20">
        <v>0</v>
      </c>
      <c r="I12" s="20"/>
      <c r="J12" s="18">
        <v>7000</v>
      </c>
      <c r="K12" s="18">
        <v>0</v>
      </c>
      <c r="L12" s="18">
        <f>Table547[[#This Row],[Credit]]-Table547[[#This Row],[Debit]]</f>
        <v>7000</v>
      </c>
      <c r="M12" s="18">
        <f>Table547[[#This Row],[Difference]]+M11</f>
        <v>10083.754559270517</v>
      </c>
      <c r="N12" s="18"/>
      <c r="O12" s="18" t="s">
        <v>81</v>
      </c>
      <c r="P12" s="18" t="s">
        <v>48</v>
      </c>
    </row>
    <row r="13" spans="2:16" x14ac:dyDescent="0.2">
      <c r="B13" s="16">
        <v>66</v>
      </c>
      <c r="C13" s="16" t="s">
        <v>23</v>
      </c>
      <c r="D13" s="10" t="s">
        <v>117</v>
      </c>
      <c r="E13" s="17">
        <v>42900</v>
      </c>
      <c r="F13" s="18"/>
      <c r="G13" s="18"/>
      <c r="H13" s="20">
        <v>0</v>
      </c>
      <c r="I13" s="20"/>
      <c r="J13" s="18"/>
      <c r="K13" s="18">
        <v>28.75</v>
      </c>
      <c r="L13" s="18">
        <f>Table547[[#This Row],[Credit]]-Table547[[#This Row],[Debit]]</f>
        <v>-28.75</v>
      </c>
      <c r="M13" s="18">
        <f>Table547[[#This Row],[Difference]]+M12</f>
        <v>10055.004559270517</v>
      </c>
      <c r="N13" s="18"/>
      <c r="O13" s="18" t="s">
        <v>81</v>
      </c>
      <c r="P13" s="18" t="s">
        <v>82</v>
      </c>
    </row>
    <row r="14" spans="2:16" x14ac:dyDescent="0.2">
      <c r="B14" s="16">
        <v>67</v>
      </c>
      <c r="C14" s="16" t="s">
        <v>23</v>
      </c>
      <c r="D14" s="10" t="s">
        <v>118</v>
      </c>
      <c r="E14" s="17">
        <v>42901</v>
      </c>
      <c r="F14" s="18"/>
      <c r="G14" s="18"/>
      <c r="H14" s="20">
        <v>0</v>
      </c>
      <c r="I14" s="20"/>
      <c r="J14" s="18"/>
      <c r="K14" s="18">
        <v>862.5</v>
      </c>
      <c r="L14" s="18">
        <f>Table547[[#This Row],[Credit]]-Table547[[#This Row],[Debit]]</f>
        <v>-862.5</v>
      </c>
      <c r="M14" s="18">
        <f>Table547[[#This Row],[Difference]]+M13</f>
        <v>9192.5045592705173</v>
      </c>
      <c r="N14" s="18"/>
      <c r="O14" s="18" t="s">
        <v>81</v>
      </c>
      <c r="P14" s="18" t="s">
        <v>82</v>
      </c>
    </row>
    <row r="15" spans="2:16" x14ac:dyDescent="0.2">
      <c r="B15" s="16">
        <v>71</v>
      </c>
      <c r="C15" s="16" t="s">
        <v>23</v>
      </c>
      <c r="D15" s="10" t="s">
        <v>122</v>
      </c>
      <c r="E15" s="17">
        <v>42914</v>
      </c>
      <c r="F15" s="18"/>
      <c r="G15" s="18"/>
      <c r="H15" s="20">
        <v>0</v>
      </c>
      <c r="I15" s="20"/>
      <c r="J15" s="18">
        <v>5000</v>
      </c>
      <c r="K15" s="18"/>
      <c r="L15" s="18">
        <f>Table547[[#This Row],[Credit]]-Table547[[#This Row],[Debit]]</f>
        <v>5000</v>
      </c>
      <c r="M15" s="18">
        <f>Table547[[#This Row],[Difference]]+M14</f>
        <v>14192.504559270517</v>
      </c>
      <c r="N15" s="18"/>
      <c r="O15" s="18" t="s">
        <v>81</v>
      </c>
      <c r="P15" s="18" t="s">
        <v>48</v>
      </c>
    </row>
    <row r="16" spans="2:16" s="1" customFormat="1" x14ac:dyDescent="0.2">
      <c r="B16" s="16">
        <v>95</v>
      </c>
      <c r="C16" s="16" t="s">
        <v>23</v>
      </c>
      <c r="D16" s="10" t="s">
        <v>117</v>
      </c>
      <c r="E16" s="17">
        <v>43016</v>
      </c>
      <c r="F16" s="18"/>
      <c r="G16" s="18"/>
      <c r="H16" s="20">
        <v>0</v>
      </c>
      <c r="I16" s="20"/>
      <c r="J16" s="18"/>
      <c r="K16" s="18">
        <f>25+2.25+2.25</f>
        <v>29.5</v>
      </c>
      <c r="L16" s="18">
        <f>Table547[[#This Row],[Credit]]-Table547[[#This Row],[Debit]]</f>
        <v>-29.5</v>
      </c>
      <c r="M16" s="18">
        <f>Table547[[#This Row],[Difference]]+M15</f>
        <v>14163.004559270517</v>
      </c>
      <c r="N16" s="18"/>
      <c r="O16" s="18" t="s">
        <v>81</v>
      </c>
      <c r="P16" s="18" t="s">
        <v>82</v>
      </c>
    </row>
    <row r="17" spans="2:19" x14ac:dyDescent="0.2">
      <c r="B17" s="16">
        <v>114</v>
      </c>
      <c r="C17" s="16" t="s">
        <v>23</v>
      </c>
      <c r="D17" s="10" t="s">
        <v>117</v>
      </c>
      <c r="E17" s="48">
        <v>42983</v>
      </c>
      <c r="F17" s="22"/>
      <c r="G17" s="22"/>
      <c r="H17" s="20">
        <v>0</v>
      </c>
      <c r="I17" s="49"/>
      <c r="J17" s="22"/>
      <c r="K17" s="22">
        <v>29.5</v>
      </c>
      <c r="L17" s="18">
        <f>Table547[[#This Row],[Credit]]-Table547[[#This Row],[Debit]]</f>
        <v>-29.5</v>
      </c>
      <c r="M17" s="18">
        <f>Table547[[#This Row],[Difference]]+M16</f>
        <v>14133.504559270517</v>
      </c>
      <c r="N17" s="22"/>
      <c r="O17" s="18" t="s">
        <v>81</v>
      </c>
      <c r="P17" s="18" t="s">
        <v>82</v>
      </c>
    </row>
    <row r="18" spans="2:19" x14ac:dyDescent="0.2">
      <c r="B18" s="16">
        <v>123</v>
      </c>
      <c r="C18" s="16" t="s">
        <v>23</v>
      </c>
      <c r="D18" s="10" t="s">
        <v>117</v>
      </c>
      <c r="E18" s="48">
        <v>42993</v>
      </c>
      <c r="F18" s="18"/>
      <c r="G18" s="18"/>
      <c r="H18" s="20">
        <v>0</v>
      </c>
      <c r="I18" s="20"/>
      <c r="J18" s="18"/>
      <c r="K18" s="18">
        <f>25+2.25+2.25</f>
        <v>29.5</v>
      </c>
      <c r="L18" s="18">
        <f>Table547[[#This Row],[Credit]]-Table547[[#This Row],[Debit]]</f>
        <v>-29.5</v>
      </c>
      <c r="M18" s="18">
        <f>Table547[[#This Row],[Difference]]+M17</f>
        <v>14104.004559270517</v>
      </c>
      <c r="N18" s="18"/>
      <c r="O18" s="18" t="s">
        <v>81</v>
      </c>
      <c r="P18" s="18" t="s">
        <v>82</v>
      </c>
      <c r="Q18" s="1"/>
      <c r="R18" s="1"/>
      <c r="S18" s="1"/>
    </row>
    <row r="19" spans="2:19" x14ac:dyDescent="0.2">
      <c r="B19" s="143">
        <v>139</v>
      </c>
      <c r="C19" s="16" t="s">
        <v>23</v>
      </c>
      <c r="D19" s="53" t="s">
        <v>117</v>
      </c>
      <c r="E19" s="48">
        <v>43032</v>
      </c>
      <c r="F19" s="22"/>
      <c r="G19" s="22"/>
      <c r="H19" s="20">
        <v>0</v>
      </c>
      <c r="I19" s="49"/>
      <c r="J19" s="146"/>
      <c r="K19" s="22">
        <v>29.5</v>
      </c>
      <c r="L19" s="18">
        <f>Table547[[#This Row],[Credit]]-Table547[[#This Row],[Debit]]</f>
        <v>-29.5</v>
      </c>
      <c r="M19" s="18">
        <f>Table547[[#This Row],[Difference]]+M18</f>
        <v>14074.504559270517</v>
      </c>
      <c r="N19" s="22"/>
      <c r="O19" s="22" t="s">
        <v>81</v>
      </c>
      <c r="P19" s="51" t="s">
        <v>82</v>
      </c>
      <c r="Q19" s="1"/>
      <c r="R19" s="1"/>
      <c r="S19" s="1"/>
    </row>
    <row r="20" spans="2:19" x14ac:dyDescent="0.2">
      <c r="B20" s="143">
        <v>177</v>
      </c>
      <c r="C20" s="16" t="s">
        <v>23</v>
      </c>
      <c r="D20" s="53" t="s">
        <v>117</v>
      </c>
      <c r="E20" s="48">
        <v>43060</v>
      </c>
      <c r="F20" s="22"/>
      <c r="G20" s="22"/>
      <c r="H20" s="20">
        <v>0</v>
      </c>
      <c r="I20" s="49"/>
      <c r="J20" s="146"/>
      <c r="K20" s="22">
        <v>29.5</v>
      </c>
      <c r="L20" s="18">
        <f>Table547[[#This Row],[Credit]]-Table547[[#This Row],[Debit]]</f>
        <v>-29.5</v>
      </c>
      <c r="M20" s="18">
        <f>Table547[[#This Row],[Difference]]+M19</f>
        <v>14045.004559270517</v>
      </c>
      <c r="N20" s="22"/>
      <c r="O20" s="22" t="s">
        <v>81</v>
      </c>
      <c r="P20" s="51" t="s">
        <v>82</v>
      </c>
      <c r="Q20" s="1"/>
      <c r="R20" s="1"/>
      <c r="S20" s="1"/>
    </row>
    <row r="21" spans="2:19" x14ac:dyDescent="0.2">
      <c r="B21" s="239">
        <v>214</v>
      </c>
      <c r="C21" s="16" t="s">
        <v>23</v>
      </c>
      <c r="D21" s="53" t="s">
        <v>117</v>
      </c>
      <c r="E21" s="48">
        <v>43091</v>
      </c>
      <c r="F21" s="22"/>
      <c r="G21" s="22"/>
      <c r="H21" s="49">
        <v>0</v>
      </c>
      <c r="I21" s="49"/>
      <c r="J21" s="146"/>
      <c r="K21" s="22">
        <v>29.5</v>
      </c>
      <c r="L21" s="18">
        <f>Table547[[#This Row],[Credit]]-Table547[[#This Row],[Debit]]</f>
        <v>-29.5</v>
      </c>
      <c r="M21" s="18">
        <f>Table547[[#This Row],[Difference]]+M20</f>
        <v>14015.504559270517</v>
      </c>
      <c r="N21" s="22"/>
      <c r="O21" s="22" t="s">
        <v>81</v>
      </c>
      <c r="P21" s="51" t="s">
        <v>82</v>
      </c>
      <c r="Q21" s="1"/>
      <c r="R21" s="1"/>
      <c r="S21" s="1"/>
    </row>
    <row r="22" spans="2:19" x14ac:dyDescent="0.2">
      <c r="B22" s="100"/>
      <c r="C22" s="101"/>
      <c r="D22" s="102"/>
      <c r="E22" s="103"/>
      <c r="F22" s="104">
        <f>SUBTOTAL(109,Table547[USD])</f>
        <v>240</v>
      </c>
      <c r="G22" s="104">
        <f>SUBTOTAL(109,Table547[Euro])</f>
        <v>221.05554020447636</v>
      </c>
      <c r="H22" s="104"/>
      <c r="I22" s="104">
        <f>SUBTOTAL(109,Table547[Transfer Crg
(Euro)])</f>
        <v>0</v>
      </c>
      <c r="J22" s="104">
        <f>SUBTOTAL(109,J6:J21)</f>
        <v>36346.504559270514</v>
      </c>
      <c r="K22" s="104">
        <f>SUBTOTAL(109,Table547[Debit])</f>
        <v>22331</v>
      </c>
      <c r="L22" s="105">
        <f>SUBTOTAL(109,L6:L21)</f>
        <v>14015.504559270517</v>
      </c>
      <c r="M22" s="104"/>
      <c r="N22" s="104"/>
      <c r="O22" s="104"/>
      <c r="P22" s="106"/>
    </row>
    <row r="23" spans="2:19" x14ac:dyDescent="0.2">
      <c r="J23" s="44" t="s">
        <v>163</v>
      </c>
      <c r="K23" s="107">
        <f>14045-29.5</f>
        <v>14015.5</v>
      </c>
    </row>
    <row r="24" spans="2:19" x14ac:dyDescent="0.2">
      <c r="J24" s="44" t="s">
        <v>16</v>
      </c>
      <c r="K24" s="107">
        <f>K23-Table547[[#Totals],[Difference]]</f>
        <v>-4.5592705173476133E-3</v>
      </c>
    </row>
    <row r="25" spans="2:19" x14ac:dyDescent="0.2">
      <c r="E25" s="44" t="s">
        <v>398</v>
      </c>
    </row>
  </sheetData>
  <mergeCells count="1">
    <mergeCell ref="I4:M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0"/>
  <sheetViews>
    <sheetView workbookViewId="0">
      <pane xSplit="3" ySplit="5" topLeftCell="D183" activePane="bottomRight" state="frozen"/>
      <selection pane="topRight" activeCell="D1" sqref="D1"/>
      <selection pane="bottomLeft" activeCell="A6" sqref="A6"/>
      <selection pane="bottomRight" activeCell="L217" sqref="L217"/>
    </sheetView>
  </sheetViews>
  <sheetFormatPr defaultColWidth="9.140625" defaultRowHeight="12" x14ac:dyDescent="0.2"/>
  <cols>
    <col min="1" max="1" width="3.42578125" style="1" customWidth="1"/>
    <col min="2" max="2" width="7.42578125" style="3" bestFit="1" customWidth="1"/>
    <col min="3" max="3" width="6.28515625" style="1" customWidth="1"/>
    <col min="4" max="4" width="46" style="1" bestFit="1" customWidth="1"/>
    <col min="5" max="5" width="15.5703125" style="1" bestFit="1" customWidth="1"/>
    <col min="6" max="7" width="8.140625" style="1" hidden="1" customWidth="1"/>
    <col min="8" max="8" width="7.7109375" style="1" hidden="1" customWidth="1"/>
    <col min="9" max="9" width="9.5703125" style="1" hidden="1" customWidth="1"/>
    <col min="10" max="10" width="10.85546875" style="1" bestFit="1" customWidth="1"/>
    <col min="11" max="11" width="13.42578125" style="1" bestFit="1" customWidth="1"/>
    <col min="12" max="12" width="10.85546875" style="1" bestFit="1" customWidth="1"/>
    <col min="13" max="13" width="10.28515625" style="1" bestFit="1" customWidth="1"/>
    <col min="14" max="14" width="8.140625" style="1" bestFit="1" customWidth="1"/>
    <col min="15" max="15" width="16" style="1" bestFit="1" customWidth="1"/>
    <col min="16" max="16" width="15.140625" style="1" bestFit="1" customWidth="1"/>
    <col min="17" max="17" width="14.140625" style="1" bestFit="1" customWidth="1"/>
    <col min="18" max="16384" width="9.140625" style="1"/>
  </cols>
  <sheetData>
    <row r="1" spans="2:17" x14ac:dyDescent="0.2">
      <c r="B1" s="3" t="s">
        <v>0</v>
      </c>
      <c r="C1" s="1" t="s">
        <v>1</v>
      </c>
      <c r="D1" s="4"/>
    </row>
    <row r="2" spans="2:17" x14ac:dyDescent="0.2">
      <c r="C2" s="1" t="s">
        <v>2</v>
      </c>
      <c r="D2" s="5"/>
    </row>
    <row r="3" spans="2:17" ht="12.75" thickBot="1" x14ac:dyDescent="0.25">
      <c r="C3" s="1" t="s">
        <v>3</v>
      </c>
      <c r="D3" s="6"/>
    </row>
    <row r="4" spans="2:17" x14ac:dyDescent="0.2">
      <c r="I4" s="249" t="s">
        <v>4</v>
      </c>
      <c r="J4" s="250"/>
      <c r="K4" s="250"/>
      <c r="L4" s="250"/>
      <c r="M4" s="251"/>
    </row>
    <row r="5" spans="2:17" ht="36" customHeight="1" thickBot="1" x14ac:dyDescent="0.25">
      <c r="B5" s="181" t="s">
        <v>6</v>
      </c>
      <c r="C5" s="182" t="s">
        <v>7</v>
      </c>
      <c r="D5" s="183" t="s">
        <v>8</v>
      </c>
      <c r="E5" s="183" t="s">
        <v>9</v>
      </c>
      <c r="F5" s="183" t="s">
        <v>10</v>
      </c>
      <c r="G5" s="183" t="s">
        <v>11</v>
      </c>
      <c r="H5" s="183" t="s">
        <v>12</v>
      </c>
      <c r="I5" s="184" t="s">
        <v>13</v>
      </c>
      <c r="J5" s="183" t="s">
        <v>14</v>
      </c>
      <c r="K5" s="183" t="s">
        <v>15</v>
      </c>
      <c r="L5" s="183" t="s">
        <v>16</v>
      </c>
      <c r="M5" s="185" t="s">
        <v>17</v>
      </c>
      <c r="N5" s="183" t="s">
        <v>18</v>
      </c>
      <c r="O5" s="183" t="s">
        <v>19</v>
      </c>
      <c r="P5" s="186" t="s">
        <v>20</v>
      </c>
      <c r="Q5" s="187" t="s">
        <v>21</v>
      </c>
    </row>
    <row r="6" spans="2:17" x14ac:dyDescent="0.2">
      <c r="B6" s="195">
        <v>4</v>
      </c>
      <c r="C6" s="196" t="s">
        <v>34</v>
      </c>
      <c r="D6" s="188" t="s">
        <v>35</v>
      </c>
      <c r="E6" s="189">
        <v>42774</v>
      </c>
      <c r="F6" s="190">
        <v>208</v>
      </c>
      <c r="G6" s="190">
        <v>191.58146817721283</v>
      </c>
      <c r="H6" s="190">
        <v>64.899038461538467</v>
      </c>
      <c r="I6" s="190"/>
      <c r="J6" s="190">
        <v>13499</v>
      </c>
      <c r="K6" s="190">
        <v>13499</v>
      </c>
      <c r="L6" s="190">
        <f>Table545[[#This Row],[Credit]]-Table545[[#This Row],[Debit]]</f>
        <v>0</v>
      </c>
      <c r="M6" s="190">
        <f>Table545[[#This Row],[Difference]]</f>
        <v>0</v>
      </c>
      <c r="N6" s="190"/>
      <c r="O6" s="190" t="s">
        <v>25</v>
      </c>
      <c r="P6" s="190" t="s">
        <v>26</v>
      </c>
      <c r="Q6" s="191"/>
    </row>
    <row r="7" spans="2:17" x14ac:dyDescent="0.2">
      <c r="B7" s="197">
        <v>5</v>
      </c>
      <c r="C7" s="24" t="s">
        <v>34</v>
      </c>
      <c r="D7" s="15" t="s">
        <v>37</v>
      </c>
      <c r="E7" s="46">
        <v>42795</v>
      </c>
      <c r="F7" s="29"/>
      <c r="G7" s="29"/>
      <c r="H7" s="29"/>
      <c r="I7" s="29"/>
      <c r="J7" s="29"/>
      <c r="K7" s="29">
        <v>34500</v>
      </c>
      <c r="L7" s="29">
        <f>Table545[[#This Row],[Credit]]-Table545[[#This Row],[Debit]]</f>
        <v>-34500</v>
      </c>
      <c r="M7" s="29">
        <f>Table545[[#This Row],[Difference]]+M6</f>
        <v>-34500</v>
      </c>
      <c r="N7" s="29"/>
      <c r="O7" s="29" t="s">
        <v>29</v>
      </c>
      <c r="P7" s="29" t="s">
        <v>38</v>
      </c>
      <c r="Q7" s="151"/>
    </row>
    <row r="8" spans="2:17" x14ac:dyDescent="0.2">
      <c r="B8" s="197">
        <v>6</v>
      </c>
      <c r="C8" s="24" t="s">
        <v>34</v>
      </c>
      <c r="D8" s="15" t="s">
        <v>40</v>
      </c>
      <c r="E8" s="46">
        <v>42814</v>
      </c>
      <c r="F8" s="29"/>
      <c r="G8" s="29"/>
      <c r="H8" s="47">
        <v>0</v>
      </c>
      <c r="I8" s="47"/>
      <c r="J8" s="29">
        <v>70</v>
      </c>
      <c r="K8" s="29">
        <v>70</v>
      </c>
      <c r="L8" s="29">
        <f>Table545[[#This Row],[Credit]]-Table545[[#This Row],[Debit]]</f>
        <v>0</v>
      </c>
      <c r="M8" s="29">
        <f>Table545[[#This Row],[Difference]]+M7</f>
        <v>-34500</v>
      </c>
      <c r="N8" s="29"/>
      <c r="O8" s="29" t="s">
        <v>29</v>
      </c>
      <c r="P8" s="29" t="s">
        <v>41</v>
      </c>
      <c r="Q8" s="151"/>
    </row>
    <row r="9" spans="2:17" x14ac:dyDescent="0.2">
      <c r="B9" s="197">
        <v>7</v>
      </c>
      <c r="C9" s="24" t="s">
        <v>34</v>
      </c>
      <c r="D9" s="15" t="s">
        <v>43</v>
      </c>
      <c r="E9" s="46">
        <v>42816</v>
      </c>
      <c r="F9" s="29"/>
      <c r="G9" s="29"/>
      <c r="H9" s="47">
        <v>0</v>
      </c>
      <c r="I9" s="47"/>
      <c r="J9" s="29"/>
      <c r="K9" s="29">
        <v>5175</v>
      </c>
      <c r="L9" s="29">
        <f>Table545[[#This Row],[Credit]]-Table545[[#This Row],[Debit]]</f>
        <v>-5175</v>
      </c>
      <c r="M9" s="29">
        <f>Table545[[#This Row],[Difference]]+M8</f>
        <v>-39675</v>
      </c>
      <c r="N9" s="29"/>
      <c r="O9" s="29" t="s">
        <v>29</v>
      </c>
      <c r="P9" s="29" t="s">
        <v>44</v>
      </c>
      <c r="Q9" s="151"/>
    </row>
    <row r="10" spans="2:17" x14ac:dyDescent="0.2">
      <c r="B10" s="197">
        <v>8</v>
      </c>
      <c r="C10" s="24" t="s">
        <v>34</v>
      </c>
      <c r="D10" s="15" t="s">
        <v>46</v>
      </c>
      <c r="E10" s="46">
        <v>42817</v>
      </c>
      <c r="F10" s="29">
        <v>868.56000000000006</v>
      </c>
      <c r="G10" s="29">
        <v>800</v>
      </c>
      <c r="H10" s="47">
        <v>68.87</v>
      </c>
      <c r="I10" s="47"/>
      <c r="J10" s="25">
        <v>55096</v>
      </c>
      <c r="K10" s="29"/>
      <c r="L10" s="29">
        <f>Table545[[#This Row],[Credit]]-Table545[[#This Row],[Debit]]</f>
        <v>55096</v>
      </c>
      <c r="M10" s="29">
        <f>Table545[[#This Row],[Difference]]+M9</f>
        <v>15421</v>
      </c>
      <c r="N10" s="29"/>
      <c r="O10" s="29" t="s">
        <v>47</v>
      </c>
      <c r="P10" s="29" t="s">
        <v>48</v>
      </c>
      <c r="Q10" s="151"/>
    </row>
    <row r="11" spans="2:17" x14ac:dyDescent="0.2">
      <c r="B11" s="197">
        <v>9</v>
      </c>
      <c r="C11" s="24" t="s">
        <v>34</v>
      </c>
      <c r="D11" s="15" t="s">
        <v>50</v>
      </c>
      <c r="E11" s="46">
        <v>42817</v>
      </c>
      <c r="F11" s="29"/>
      <c r="G11" s="29"/>
      <c r="H11" s="47">
        <v>0</v>
      </c>
      <c r="I11" s="47"/>
      <c r="J11" s="29">
        <v>30</v>
      </c>
      <c r="K11" s="29">
        <v>30</v>
      </c>
      <c r="L11" s="29">
        <f>Table545[[#This Row],[Credit]]-Table545[[#This Row],[Debit]]</f>
        <v>0</v>
      </c>
      <c r="M11" s="29">
        <f>Table545[[#This Row],[Difference]]+M10</f>
        <v>15421</v>
      </c>
      <c r="N11" s="29"/>
      <c r="O11" s="29" t="s">
        <v>25</v>
      </c>
      <c r="P11" s="29" t="s">
        <v>41</v>
      </c>
      <c r="Q11" s="151"/>
    </row>
    <row r="12" spans="2:17" x14ac:dyDescent="0.2">
      <c r="B12" s="197">
        <v>10</v>
      </c>
      <c r="C12" s="24" t="s">
        <v>34</v>
      </c>
      <c r="D12" s="15" t="s">
        <v>52</v>
      </c>
      <c r="E12" s="46">
        <v>42817</v>
      </c>
      <c r="F12" s="29"/>
      <c r="G12" s="29"/>
      <c r="H12" s="47">
        <v>0</v>
      </c>
      <c r="I12" s="47"/>
      <c r="J12" s="29">
        <v>1093</v>
      </c>
      <c r="K12" s="29">
        <v>1093</v>
      </c>
      <c r="L12" s="29">
        <f>Table545[[#This Row],[Credit]]-Table545[[#This Row],[Debit]]</f>
        <v>0</v>
      </c>
      <c r="M12" s="29">
        <f>Table545[[#This Row],[Difference]]+M11</f>
        <v>15421</v>
      </c>
      <c r="N12" s="29"/>
      <c r="O12" s="29" t="s">
        <v>25</v>
      </c>
      <c r="P12" s="29" t="s">
        <v>41</v>
      </c>
      <c r="Q12" s="151"/>
    </row>
    <row r="13" spans="2:17" x14ac:dyDescent="0.2">
      <c r="B13" s="197">
        <v>11</v>
      </c>
      <c r="C13" s="24" t="s">
        <v>34</v>
      </c>
      <c r="D13" s="15" t="s">
        <v>54</v>
      </c>
      <c r="E13" s="173">
        <v>42818</v>
      </c>
      <c r="F13" s="29">
        <v>1411.41</v>
      </c>
      <c r="G13" s="29">
        <v>1300</v>
      </c>
      <c r="H13" s="174">
        <v>68.574807692307687</v>
      </c>
      <c r="I13" s="174">
        <v>46.173491049920216</v>
      </c>
      <c r="J13" s="174">
        <v>88381.03</v>
      </c>
      <c r="K13" s="29">
        <v>88381.03</v>
      </c>
      <c r="L13" s="29">
        <f>Table545[[#This Row],[Credit]]-Table545[[#This Row],[Debit]]</f>
        <v>0</v>
      </c>
      <c r="M13" s="29">
        <f>Table545[[#This Row],[Difference]]+M12</f>
        <v>15421</v>
      </c>
      <c r="N13" s="29"/>
      <c r="O13" s="29" t="s">
        <v>25</v>
      </c>
      <c r="P13" s="29" t="s">
        <v>38</v>
      </c>
      <c r="Q13" s="151"/>
    </row>
    <row r="14" spans="2:17" x14ac:dyDescent="0.2">
      <c r="B14" s="197">
        <v>13</v>
      </c>
      <c r="C14" s="24" t="s">
        <v>34</v>
      </c>
      <c r="D14" s="15" t="s">
        <v>59</v>
      </c>
      <c r="E14" s="46">
        <v>42818</v>
      </c>
      <c r="F14" s="29"/>
      <c r="G14" s="29"/>
      <c r="H14" s="47">
        <v>0</v>
      </c>
      <c r="I14" s="47"/>
      <c r="J14" s="29"/>
      <c r="K14" s="29">
        <v>2000</v>
      </c>
      <c r="L14" s="29">
        <f>Table545[[#This Row],[Credit]]-Table545[[#This Row],[Debit]]</f>
        <v>-2000</v>
      </c>
      <c r="M14" s="29">
        <f>Table545[[#This Row],[Difference]]+M13</f>
        <v>13421</v>
      </c>
      <c r="N14" s="29">
        <v>4900</v>
      </c>
      <c r="O14" s="29" t="s">
        <v>29</v>
      </c>
      <c r="P14" s="29" t="s">
        <v>30</v>
      </c>
      <c r="Q14" s="151"/>
    </row>
    <row r="15" spans="2:17" x14ac:dyDescent="0.2">
      <c r="B15" s="197">
        <v>14</v>
      </c>
      <c r="C15" s="24" t="s">
        <v>34</v>
      </c>
      <c r="D15" s="15" t="s">
        <v>61</v>
      </c>
      <c r="E15" s="46">
        <v>42818</v>
      </c>
      <c r="F15" s="29"/>
      <c r="G15" s="29"/>
      <c r="H15" s="47">
        <v>0</v>
      </c>
      <c r="I15" s="47"/>
      <c r="J15" s="29"/>
      <c r="K15" s="29">
        <v>23041</v>
      </c>
      <c r="L15" s="29">
        <f>Table545[[#This Row],[Credit]]-Table545[[#This Row],[Debit]]</f>
        <v>-23041</v>
      </c>
      <c r="M15" s="29">
        <f>Table545[[#This Row],[Difference]]+M14</f>
        <v>-9620</v>
      </c>
      <c r="N15" s="29"/>
      <c r="O15" s="29" t="s">
        <v>29</v>
      </c>
      <c r="P15" s="29" t="s">
        <v>26</v>
      </c>
      <c r="Q15" s="151"/>
    </row>
    <row r="16" spans="2:17" x14ac:dyDescent="0.2">
      <c r="B16" s="197">
        <v>15</v>
      </c>
      <c r="C16" s="24" t="s">
        <v>34</v>
      </c>
      <c r="D16" s="15" t="s">
        <v>40</v>
      </c>
      <c r="E16" s="46">
        <v>42818</v>
      </c>
      <c r="F16" s="29"/>
      <c r="G16" s="29"/>
      <c r="H16" s="47">
        <v>0</v>
      </c>
      <c r="I16" s="47"/>
      <c r="J16" s="29">
        <v>70</v>
      </c>
      <c r="K16" s="29">
        <v>70</v>
      </c>
      <c r="L16" s="29">
        <f>Table545[[#This Row],[Credit]]-Table545[[#This Row],[Debit]]</f>
        <v>0</v>
      </c>
      <c r="M16" s="29">
        <f>Table545[[#This Row],[Difference]]+M15</f>
        <v>-9620</v>
      </c>
      <c r="N16" s="29"/>
      <c r="O16" s="29" t="s">
        <v>25</v>
      </c>
      <c r="P16" s="29" t="s">
        <v>41</v>
      </c>
      <c r="Q16" s="151"/>
    </row>
    <row r="17" spans="2:17" x14ac:dyDescent="0.2">
      <c r="B17" s="197">
        <v>16</v>
      </c>
      <c r="C17" s="24" t="s">
        <v>34</v>
      </c>
      <c r="D17" s="15" t="s">
        <v>63</v>
      </c>
      <c r="E17" s="46">
        <v>42818</v>
      </c>
      <c r="F17" s="29"/>
      <c r="G17" s="29"/>
      <c r="H17" s="47">
        <v>0</v>
      </c>
      <c r="I17" s="47"/>
      <c r="J17" s="29">
        <v>205</v>
      </c>
      <c r="K17" s="29">
        <v>205</v>
      </c>
      <c r="L17" s="29">
        <f>Table545[[#This Row],[Credit]]-Table545[[#This Row],[Debit]]</f>
        <v>0</v>
      </c>
      <c r="M17" s="29">
        <f>Table545[[#This Row],[Difference]]+M16</f>
        <v>-9620</v>
      </c>
      <c r="N17" s="29"/>
      <c r="O17" s="29" t="s">
        <v>29</v>
      </c>
      <c r="P17" s="29" t="s">
        <v>41</v>
      </c>
      <c r="Q17" s="151"/>
    </row>
    <row r="18" spans="2:17" x14ac:dyDescent="0.2">
      <c r="B18" s="197">
        <v>17</v>
      </c>
      <c r="C18" s="24" t="s">
        <v>34</v>
      </c>
      <c r="D18" s="15" t="s">
        <v>59</v>
      </c>
      <c r="E18" s="46">
        <v>42818</v>
      </c>
      <c r="F18" s="29"/>
      <c r="G18" s="29"/>
      <c r="H18" s="47">
        <v>0</v>
      </c>
      <c r="I18" s="47"/>
      <c r="J18" s="29">
        <v>0</v>
      </c>
      <c r="K18" s="29">
        <v>2900</v>
      </c>
      <c r="L18" s="29">
        <f>Table545[[#This Row],[Credit]]-Table545[[#This Row],[Debit]]</f>
        <v>-2900</v>
      </c>
      <c r="M18" s="29">
        <f>Table545[[#This Row],[Difference]]+M17</f>
        <v>-12520</v>
      </c>
      <c r="N18" s="29"/>
      <c r="O18" s="29" t="s">
        <v>29</v>
      </c>
      <c r="P18" s="29" t="s">
        <v>30</v>
      </c>
      <c r="Q18" s="151"/>
    </row>
    <row r="19" spans="2:17" x14ac:dyDescent="0.2">
      <c r="B19" s="197">
        <v>18</v>
      </c>
      <c r="C19" s="24" t="s">
        <v>34</v>
      </c>
      <c r="D19" s="15" t="s">
        <v>65</v>
      </c>
      <c r="E19" s="46">
        <v>42819</v>
      </c>
      <c r="F19" s="29"/>
      <c r="G19" s="29"/>
      <c r="H19" s="47">
        <v>0</v>
      </c>
      <c r="I19" s="47"/>
      <c r="J19" s="29"/>
      <c r="K19" s="29">
        <v>3400</v>
      </c>
      <c r="L19" s="29">
        <f>Table545[[#This Row],[Credit]]-Table545[[#This Row],[Debit]]</f>
        <v>-3400</v>
      </c>
      <c r="M19" s="29">
        <f>Table545[[#This Row],[Difference]]+M18</f>
        <v>-15920</v>
      </c>
      <c r="N19" s="29">
        <v>3100</v>
      </c>
      <c r="O19" s="29" t="s">
        <v>29</v>
      </c>
      <c r="P19" s="29" t="s">
        <v>26</v>
      </c>
      <c r="Q19" s="151"/>
    </row>
    <row r="20" spans="2:17" x14ac:dyDescent="0.2">
      <c r="B20" s="197">
        <v>19</v>
      </c>
      <c r="C20" s="24" t="s">
        <v>34</v>
      </c>
      <c r="D20" s="15" t="s">
        <v>66</v>
      </c>
      <c r="E20" s="46">
        <v>42819</v>
      </c>
      <c r="F20" s="29"/>
      <c r="G20" s="29"/>
      <c r="H20" s="47">
        <v>0</v>
      </c>
      <c r="I20" s="47"/>
      <c r="J20" s="29"/>
      <c r="K20" s="29">
        <v>810</v>
      </c>
      <c r="L20" s="29">
        <f>Table545[[#This Row],[Credit]]-Table545[[#This Row],[Debit]]</f>
        <v>-810</v>
      </c>
      <c r="M20" s="29">
        <f>Table545[[#This Row],[Difference]]+M19</f>
        <v>-16730</v>
      </c>
      <c r="N20" s="29"/>
      <c r="O20" s="29" t="s">
        <v>29</v>
      </c>
      <c r="P20" s="29" t="s">
        <v>26</v>
      </c>
      <c r="Q20" s="151"/>
    </row>
    <row r="21" spans="2:17" x14ac:dyDescent="0.2">
      <c r="B21" s="197">
        <v>20</v>
      </c>
      <c r="C21" s="24" t="s">
        <v>34</v>
      </c>
      <c r="D21" s="15" t="s">
        <v>67</v>
      </c>
      <c r="E21" s="46">
        <v>42821</v>
      </c>
      <c r="F21" s="29"/>
      <c r="G21" s="29"/>
      <c r="H21" s="47">
        <v>0</v>
      </c>
      <c r="I21" s="47"/>
      <c r="J21" s="29"/>
      <c r="K21" s="29">
        <v>100</v>
      </c>
      <c r="L21" s="29">
        <f>Table545[[#This Row],[Credit]]-Table545[[#This Row],[Debit]]</f>
        <v>-100</v>
      </c>
      <c r="M21" s="29">
        <f>Table545[[#This Row],[Difference]]+M20</f>
        <v>-16830</v>
      </c>
      <c r="N21" s="29"/>
      <c r="O21" s="29" t="s">
        <v>29</v>
      </c>
      <c r="P21" s="29" t="s">
        <v>26</v>
      </c>
      <c r="Q21" s="151"/>
    </row>
    <row r="22" spans="2:17" x14ac:dyDescent="0.2">
      <c r="B22" s="197">
        <v>21</v>
      </c>
      <c r="C22" s="24" t="s">
        <v>34</v>
      </c>
      <c r="D22" s="15" t="s">
        <v>68</v>
      </c>
      <c r="E22" s="46">
        <v>42821</v>
      </c>
      <c r="F22" s="29"/>
      <c r="G22" s="29"/>
      <c r="H22" s="47">
        <v>0</v>
      </c>
      <c r="I22" s="47"/>
      <c r="J22" s="29"/>
      <c r="K22" s="29">
        <v>500</v>
      </c>
      <c r="L22" s="29">
        <f>Table545[[#This Row],[Credit]]-Table545[[#This Row],[Debit]]</f>
        <v>-500</v>
      </c>
      <c r="M22" s="29">
        <f>Table545[[#This Row],[Difference]]+M21</f>
        <v>-17330</v>
      </c>
      <c r="N22" s="29"/>
      <c r="O22" s="29" t="s">
        <v>29</v>
      </c>
      <c r="P22" s="29" t="s">
        <v>30</v>
      </c>
      <c r="Q22" s="151"/>
    </row>
    <row r="23" spans="2:17" x14ac:dyDescent="0.2">
      <c r="B23" s="197">
        <v>22</v>
      </c>
      <c r="C23" s="24" t="s">
        <v>34</v>
      </c>
      <c r="D23" s="15" t="s">
        <v>46</v>
      </c>
      <c r="E23" s="46">
        <v>42824</v>
      </c>
      <c r="F23" s="29">
        <v>1085.7</v>
      </c>
      <c r="G23" s="29">
        <v>1000</v>
      </c>
      <c r="H23" s="47">
        <v>70.070999999999998</v>
      </c>
      <c r="I23" s="47"/>
      <c r="J23" s="25">
        <v>70071</v>
      </c>
      <c r="K23" s="29"/>
      <c r="L23" s="29">
        <f>Table545[[#This Row],[Credit]]-Table545[[#This Row],[Debit]]</f>
        <v>70071</v>
      </c>
      <c r="M23" s="29">
        <f>Table545[[#This Row],[Difference]]+M22</f>
        <v>52741</v>
      </c>
      <c r="N23" s="29"/>
      <c r="O23" s="29" t="s">
        <v>25</v>
      </c>
      <c r="P23" s="29" t="s">
        <v>48</v>
      </c>
      <c r="Q23" s="151"/>
    </row>
    <row r="24" spans="2:17" x14ac:dyDescent="0.2">
      <c r="B24" s="197">
        <v>23</v>
      </c>
      <c r="C24" s="24" t="s">
        <v>34</v>
      </c>
      <c r="D24" s="15" t="s">
        <v>69</v>
      </c>
      <c r="E24" s="173">
        <v>42837</v>
      </c>
      <c r="F24" s="29"/>
      <c r="G24" s="29"/>
      <c r="H24" s="175">
        <v>0</v>
      </c>
      <c r="I24" s="174"/>
      <c r="J24" s="174"/>
      <c r="K24" s="29">
        <v>4570</v>
      </c>
      <c r="L24" s="29">
        <f>Table545[[#This Row],[Credit]]-Table545[[#This Row],[Debit]]</f>
        <v>-4570</v>
      </c>
      <c r="M24" s="29">
        <f>Table545[[#This Row],[Difference]]+M23</f>
        <v>48171</v>
      </c>
      <c r="N24" s="29"/>
      <c r="O24" s="29" t="s">
        <v>29</v>
      </c>
      <c r="P24" s="29" t="s">
        <v>44</v>
      </c>
      <c r="Q24" s="151"/>
    </row>
    <row r="25" spans="2:17" x14ac:dyDescent="0.2">
      <c r="B25" s="197">
        <v>24</v>
      </c>
      <c r="C25" s="24" t="s">
        <v>34</v>
      </c>
      <c r="D25" s="15" t="s">
        <v>70</v>
      </c>
      <c r="E25" s="46">
        <v>42838</v>
      </c>
      <c r="F25" s="29">
        <v>5503.4133000000002</v>
      </c>
      <c r="G25" s="29">
        <v>5069</v>
      </c>
      <c r="H25" s="47">
        <v>67.547399881633467</v>
      </c>
      <c r="I25" s="47">
        <v>45.275901095967996</v>
      </c>
      <c r="J25" s="29">
        <v>341433.47000000003</v>
      </c>
      <c r="K25" s="29">
        <v>341433.47000000003</v>
      </c>
      <c r="L25" s="29">
        <f>Table545[[#This Row],[Credit]]-Table545[[#This Row],[Debit]]</f>
        <v>0</v>
      </c>
      <c r="M25" s="29">
        <f>Table545[[#This Row],[Difference]]+M24</f>
        <v>48171</v>
      </c>
      <c r="N25" s="29"/>
      <c r="O25" s="29" t="s">
        <v>25</v>
      </c>
      <c r="P25" s="29" t="s">
        <v>71</v>
      </c>
      <c r="Q25" s="151"/>
    </row>
    <row r="26" spans="2:17" x14ac:dyDescent="0.2">
      <c r="B26" s="197">
        <v>25</v>
      </c>
      <c r="C26" s="24" t="s">
        <v>34</v>
      </c>
      <c r="D26" s="15" t="s">
        <v>73</v>
      </c>
      <c r="E26" s="46">
        <v>42838</v>
      </c>
      <c r="F26" s="29"/>
      <c r="G26" s="29"/>
      <c r="H26" s="47">
        <v>0</v>
      </c>
      <c r="I26" s="47"/>
      <c r="J26" s="29"/>
      <c r="K26" s="29">
        <v>5000</v>
      </c>
      <c r="L26" s="29">
        <f>Table545[[#This Row],[Credit]]-Table545[[#This Row],[Debit]]</f>
        <v>-5000</v>
      </c>
      <c r="M26" s="29">
        <f>Table545[[#This Row],[Difference]]+M25</f>
        <v>43171</v>
      </c>
      <c r="N26" s="29"/>
      <c r="O26" s="29" t="s">
        <v>29</v>
      </c>
      <c r="P26" s="29" t="s">
        <v>26</v>
      </c>
      <c r="Q26" s="151"/>
    </row>
    <row r="27" spans="2:17" x14ac:dyDescent="0.2">
      <c r="B27" s="197">
        <v>26</v>
      </c>
      <c r="C27" s="24" t="s">
        <v>34</v>
      </c>
      <c r="D27" s="15" t="s">
        <v>75</v>
      </c>
      <c r="E27" s="173">
        <v>42839</v>
      </c>
      <c r="F27" s="29"/>
      <c r="G27" s="29"/>
      <c r="H27" s="47">
        <v>0</v>
      </c>
      <c r="I27" s="47"/>
      <c r="J27" s="174"/>
      <c r="K27" s="29">
        <v>3000</v>
      </c>
      <c r="L27" s="29">
        <f>Table545[[#This Row],[Credit]]-Table545[[#This Row],[Debit]]</f>
        <v>-3000</v>
      </c>
      <c r="M27" s="29">
        <f>Table545[[#This Row],[Difference]]+M26</f>
        <v>40171</v>
      </c>
      <c r="N27" s="29"/>
      <c r="O27" s="29" t="s">
        <v>29</v>
      </c>
      <c r="P27" s="29" t="s">
        <v>30</v>
      </c>
      <c r="Q27" s="151"/>
    </row>
    <row r="28" spans="2:17" x14ac:dyDescent="0.2">
      <c r="B28" s="197">
        <v>27</v>
      </c>
      <c r="C28" s="24" t="s">
        <v>34</v>
      </c>
      <c r="D28" s="15" t="s">
        <v>77</v>
      </c>
      <c r="E28" s="46">
        <v>42840</v>
      </c>
      <c r="F28" s="29">
        <v>6589.1133000000009</v>
      </c>
      <c r="G28" s="29">
        <v>6069</v>
      </c>
      <c r="H28" s="47">
        <v>66.33</v>
      </c>
      <c r="I28" s="47">
        <v>31</v>
      </c>
      <c r="J28" s="29">
        <v>413797.54000000004</v>
      </c>
      <c r="K28" s="29">
        <v>413797.54000000004</v>
      </c>
      <c r="L28" s="29">
        <f>Table545[[#This Row],[Credit]]-Table545[[#This Row],[Debit]]</f>
        <v>0</v>
      </c>
      <c r="M28" s="29">
        <f>Table545[[#This Row],[Difference]]+M27</f>
        <v>40171</v>
      </c>
      <c r="N28" s="29"/>
      <c r="O28" s="29" t="s">
        <v>25</v>
      </c>
      <c r="P28" s="29" t="s">
        <v>26</v>
      </c>
      <c r="Q28" s="151"/>
    </row>
    <row r="29" spans="2:17" x14ac:dyDescent="0.2">
      <c r="B29" s="197">
        <v>28</v>
      </c>
      <c r="C29" s="24" t="s">
        <v>34</v>
      </c>
      <c r="D29" s="15" t="s">
        <v>78</v>
      </c>
      <c r="E29" s="46">
        <v>42843</v>
      </c>
      <c r="F29" s="29"/>
      <c r="G29" s="29"/>
      <c r="H29" s="47">
        <v>0</v>
      </c>
      <c r="I29" s="47"/>
      <c r="J29" s="29"/>
      <c r="K29" s="29">
        <v>1490.4</v>
      </c>
      <c r="L29" s="29">
        <f>Table545[[#This Row],[Credit]]-Table545[[#This Row],[Debit]]</f>
        <v>-1490.4</v>
      </c>
      <c r="M29" s="29">
        <f>Table545[[#This Row],[Difference]]+M28</f>
        <v>38680.6</v>
      </c>
      <c r="N29" s="29"/>
      <c r="O29" s="29" t="s">
        <v>29</v>
      </c>
      <c r="P29" s="29" t="s">
        <v>79</v>
      </c>
      <c r="Q29" s="151"/>
    </row>
    <row r="30" spans="2:17" x14ac:dyDescent="0.2">
      <c r="B30" s="197">
        <v>29</v>
      </c>
      <c r="C30" s="24" t="s">
        <v>34</v>
      </c>
      <c r="D30" s="15" t="s">
        <v>80</v>
      </c>
      <c r="E30" s="46">
        <v>42849</v>
      </c>
      <c r="F30" s="29"/>
      <c r="G30" s="29"/>
      <c r="H30" s="47">
        <v>0</v>
      </c>
      <c r="I30" s="47"/>
      <c r="J30" s="29"/>
      <c r="K30" s="29">
        <v>517.5</v>
      </c>
      <c r="L30" s="29">
        <f>Table545[[#This Row],[Credit]]-Table545[[#This Row],[Debit]]</f>
        <v>-517.5</v>
      </c>
      <c r="M30" s="29">
        <f>Table545[[#This Row],[Difference]]+M29</f>
        <v>38163.1</v>
      </c>
      <c r="N30" s="29"/>
      <c r="O30" s="29" t="s">
        <v>81</v>
      </c>
      <c r="P30" s="29" t="s">
        <v>82</v>
      </c>
      <c r="Q30" s="151" t="s">
        <v>83</v>
      </c>
    </row>
    <row r="31" spans="2:17" x14ac:dyDescent="0.2">
      <c r="B31" s="197">
        <v>30</v>
      </c>
      <c r="C31" s="24" t="s">
        <v>34</v>
      </c>
      <c r="D31" s="176" t="s">
        <v>84</v>
      </c>
      <c r="E31" s="46">
        <v>42851</v>
      </c>
      <c r="F31" s="29"/>
      <c r="G31" s="29"/>
      <c r="H31" s="47">
        <v>0</v>
      </c>
      <c r="I31" s="47"/>
      <c r="J31" s="25">
        <v>9000</v>
      </c>
      <c r="K31" s="29">
        <v>9000</v>
      </c>
      <c r="L31" s="29">
        <f>Table545[[#This Row],[Credit]]-Table545[[#This Row],[Debit]]</f>
        <v>0</v>
      </c>
      <c r="M31" s="29">
        <f>Table545[[#This Row],[Difference]]+M30</f>
        <v>38163.1</v>
      </c>
      <c r="N31" s="29"/>
      <c r="O31" s="29" t="s">
        <v>29</v>
      </c>
      <c r="P31" s="29" t="s">
        <v>48</v>
      </c>
      <c r="Q31" s="151"/>
    </row>
    <row r="32" spans="2:17" x14ac:dyDescent="0.2">
      <c r="B32" s="197">
        <v>31</v>
      </c>
      <c r="C32" s="24" t="s">
        <v>34</v>
      </c>
      <c r="D32" s="15" t="s">
        <v>85</v>
      </c>
      <c r="E32" s="46">
        <v>42855</v>
      </c>
      <c r="F32" s="29"/>
      <c r="G32" s="29"/>
      <c r="H32" s="47">
        <v>0</v>
      </c>
      <c r="I32" s="47"/>
      <c r="J32" s="29"/>
      <c r="K32" s="29">
        <v>1300</v>
      </c>
      <c r="L32" s="29">
        <f>Table545[[#This Row],[Credit]]-Table545[[#This Row],[Debit]]</f>
        <v>-1300</v>
      </c>
      <c r="M32" s="29">
        <f>Table545[[#This Row],[Difference]]+M31</f>
        <v>36863.1</v>
      </c>
      <c r="N32" s="29"/>
      <c r="O32" s="29" t="s">
        <v>29</v>
      </c>
      <c r="P32" s="29" t="s">
        <v>86</v>
      </c>
      <c r="Q32" s="151"/>
    </row>
    <row r="33" spans="2:17" x14ac:dyDescent="0.2">
      <c r="B33" s="197">
        <v>32</v>
      </c>
      <c r="C33" s="24" t="s">
        <v>34</v>
      </c>
      <c r="D33" s="15" t="s">
        <v>87</v>
      </c>
      <c r="E33" s="46">
        <v>42857</v>
      </c>
      <c r="F33" s="29"/>
      <c r="G33" s="29"/>
      <c r="H33" s="47">
        <v>0</v>
      </c>
      <c r="I33" s="47"/>
      <c r="J33" s="29"/>
      <c r="K33" s="29">
        <v>5334</v>
      </c>
      <c r="L33" s="29">
        <f>Table545[[#This Row],[Credit]]-Table545[[#This Row],[Debit]]</f>
        <v>-5334</v>
      </c>
      <c r="M33" s="29">
        <f>Table545[[#This Row],[Difference]]+M32</f>
        <v>31529.1</v>
      </c>
      <c r="N33" s="29"/>
      <c r="O33" s="29" t="s">
        <v>29</v>
      </c>
      <c r="P33" s="29" t="s">
        <v>86</v>
      </c>
      <c r="Q33" s="151"/>
    </row>
    <row r="34" spans="2:17" x14ac:dyDescent="0.2">
      <c r="B34" s="197">
        <v>33</v>
      </c>
      <c r="C34" s="24" t="s">
        <v>34</v>
      </c>
      <c r="D34" s="15" t="s">
        <v>88</v>
      </c>
      <c r="E34" s="46">
        <v>42857</v>
      </c>
      <c r="F34" s="29"/>
      <c r="G34" s="29"/>
      <c r="H34" s="47">
        <v>0</v>
      </c>
      <c r="I34" s="47"/>
      <c r="J34" s="29"/>
      <c r="K34" s="29">
        <v>2000</v>
      </c>
      <c r="L34" s="29">
        <f>Table545[[#This Row],[Credit]]-Table545[[#This Row],[Debit]]</f>
        <v>-2000</v>
      </c>
      <c r="M34" s="29">
        <f>Table545[[#This Row],[Difference]]+M33</f>
        <v>29529.1</v>
      </c>
      <c r="N34" s="29"/>
      <c r="O34" s="29" t="s">
        <v>29</v>
      </c>
      <c r="P34" s="29" t="s">
        <v>86</v>
      </c>
      <c r="Q34" s="151"/>
    </row>
    <row r="35" spans="2:17" x14ac:dyDescent="0.2">
      <c r="B35" s="197">
        <v>34</v>
      </c>
      <c r="C35" s="24" t="s">
        <v>34</v>
      </c>
      <c r="D35" s="15" t="s">
        <v>89</v>
      </c>
      <c r="E35" s="46">
        <v>42857</v>
      </c>
      <c r="F35" s="29"/>
      <c r="G35" s="29"/>
      <c r="H35" s="47">
        <v>0</v>
      </c>
      <c r="I35" s="47"/>
      <c r="J35" s="29"/>
      <c r="K35" s="29">
        <v>6667</v>
      </c>
      <c r="L35" s="29">
        <f>Table545[[#This Row],[Credit]]-Table545[[#This Row],[Debit]]</f>
        <v>-6667</v>
      </c>
      <c r="M35" s="29">
        <f>Table545[[#This Row],[Difference]]+M34</f>
        <v>22862.1</v>
      </c>
      <c r="N35" s="29"/>
      <c r="O35" s="29" t="s">
        <v>29</v>
      </c>
      <c r="P35" s="29" t="s">
        <v>86</v>
      </c>
      <c r="Q35" s="151"/>
    </row>
    <row r="36" spans="2:17" x14ac:dyDescent="0.2">
      <c r="B36" s="197">
        <v>35</v>
      </c>
      <c r="C36" s="24" t="s">
        <v>34</v>
      </c>
      <c r="D36" s="15" t="s">
        <v>90</v>
      </c>
      <c r="E36" s="46">
        <v>42858</v>
      </c>
      <c r="F36" s="29">
        <v>3093.3058947685818</v>
      </c>
      <c r="G36" s="29"/>
      <c r="H36" s="47">
        <v>66.33</v>
      </c>
      <c r="I36" s="47"/>
      <c r="J36" s="25">
        <v>205178.98</v>
      </c>
      <c r="K36" s="29"/>
      <c r="L36" s="29">
        <f>Table545[[#This Row],[Credit]]-Table545[[#This Row],[Debit]]</f>
        <v>205178.98</v>
      </c>
      <c r="M36" s="29">
        <f>Table545[[#This Row],[Difference]]+M35</f>
        <v>228041.08000000002</v>
      </c>
      <c r="N36" s="29"/>
      <c r="O36" s="29" t="s">
        <v>25</v>
      </c>
      <c r="P36" s="29" t="s">
        <v>48</v>
      </c>
      <c r="Q36" s="151"/>
    </row>
    <row r="37" spans="2:17" x14ac:dyDescent="0.2">
      <c r="B37" s="197">
        <v>36</v>
      </c>
      <c r="C37" s="24" t="s">
        <v>34</v>
      </c>
      <c r="D37" s="15" t="s">
        <v>91</v>
      </c>
      <c r="E37" s="46">
        <v>42858</v>
      </c>
      <c r="F37" s="29"/>
      <c r="G37" s="29"/>
      <c r="H37" s="47">
        <v>0</v>
      </c>
      <c r="I37" s="47"/>
      <c r="J37" s="29"/>
      <c r="K37" s="29">
        <v>861.38</v>
      </c>
      <c r="L37" s="29">
        <f>Table545[[#This Row],[Credit]]-Table545[[#This Row],[Debit]]</f>
        <v>-861.38</v>
      </c>
      <c r="M37" s="29">
        <f>Table545[[#This Row],[Difference]]+M36</f>
        <v>227179.7</v>
      </c>
      <c r="N37" s="29"/>
      <c r="O37" s="29" t="s">
        <v>81</v>
      </c>
      <c r="P37" s="29" t="s">
        <v>82</v>
      </c>
      <c r="Q37" s="151"/>
    </row>
    <row r="38" spans="2:17" x14ac:dyDescent="0.2">
      <c r="B38" s="197">
        <v>37</v>
      </c>
      <c r="C38" s="24" t="s">
        <v>34</v>
      </c>
      <c r="D38" s="15" t="s">
        <v>70</v>
      </c>
      <c r="E38" s="46">
        <v>42858</v>
      </c>
      <c r="F38" s="29"/>
      <c r="G38" s="29"/>
      <c r="H38" s="47">
        <v>0</v>
      </c>
      <c r="I38" s="47"/>
      <c r="J38" s="29"/>
      <c r="K38" s="29">
        <v>127160</v>
      </c>
      <c r="L38" s="29">
        <f>Table545[[#This Row],[Credit]]-Table545[[#This Row],[Debit]]</f>
        <v>-127160</v>
      </c>
      <c r="M38" s="29">
        <f>Table545[[#This Row],[Difference]]+M37</f>
        <v>100019.70000000001</v>
      </c>
      <c r="N38" s="29"/>
      <c r="O38" s="29" t="s">
        <v>29</v>
      </c>
      <c r="P38" s="29" t="s">
        <v>71</v>
      </c>
      <c r="Q38" s="151"/>
    </row>
    <row r="39" spans="2:17" x14ac:dyDescent="0.2">
      <c r="B39" s="197">
        <v>38</v>
      </c>
      <c r="C39" s="24" t="s">
        <v>34</v>
      </c>
      <c r="D39" s="15" t="s">
        <v>92</v>
      </c>
      <c r="E39" s="46">
        <v>42871</v>
      </c>
      <c r="F39" s="29"/>
      <c r="G39" s="29"/>
      <c r="H39" s="47">
        <v>0</v>
      </c>
      <c r="I39" s="47"/>
      <c r="J39" s="29"/>
      <c r="K39" s="29">
        <v>6667</v>
      </c>
      <c r="L39" s="29">
        <f>Table545[[#This Row],[Credit]]-Table545[[#This Row],[Debit]]</f>
        <v>-6667</v>
      </c>
      <c r="M39" s="29">
        <f>Table545[[#This Row],[Difference]]+M38</f>
        <v>93352.700000000012</v>
      </c>
      <c r="N39" s="29"/>
      <c r="O39" s="29" t="s">
        <v>29</v>
      </c>
      <c r="P39" s="29" t="s">
        <v>86</v>
      </c>
      <c r="Q39" s="151"/>
    </row>
    <row r="40" spans="2:17" x14ac:dyDescent="0.2">
      <c r="B40" s="197">
        <v>39</v>
      </c>
      <c r="C40" s="24" t="s">
        <v>34</v>
      </c>
      <c r="D40" s="15" t="s">
        <v>93</v>
      </c>
      <c r="E40" s="46">
        <v>42871</v>
      </c>
      <c r="F40" s="29"/>
      <c r="G40" s="29"/>
      <c r="H40" s="47">
        <v>0</v>
      </c>
      <c r="I40" s="47"/>
      <c r="J40" s="29"/>
      <c r="K40" s="29">
        <v>5667</v>
      </c>
      <c r="L40" s="29">
        <f>Table545[[#This Row],[Credit]]-Table545[[#This Row],[Debit]]</f>
        <v>-5667</v>
      </c>
      <c r="M40" s="29">
        <f>Table545[[#This Row],[Difference]]+M39</f>
        <v>87685.700000000012</v>
      </c>
      <c r="N40" s="29"/>
      <c r="O40" s="29" t="s">
        <v>29</v>
      </c>
      <c r="P40" s="29" t="s">
        <v>86</v>
      </c>
      <c r="Q40" s="151"/>
    </row>
    <row r="41" spans="2:17" x14ac:dyDescent="0.2">
      <c r="B41" s="197">
        <v>40</v>
      </c>
      <c r="C41" s="24" t="s">
        <v>34</v>
      </c>
      <c r="D41" s="15" t="s">
        <v>94</v>
      </c>
      <c r="E41" s="46">
        <v>42871</v>
      </c>
      <c r="F41" s="29"/>
      <c r="G41" s="29"/>
      <c r="H41" s="47">
        <v>0</v>
      </c>
      <c r="I41" s="47"/>
      <c r="J41" s="29"/>
      <c r="K41" s="29">
        <v>2995</v>
      </c>
      <c r="L41" s="29">
        <f>Table545[[#This Row],[Credit]]-Table545[[#This Row],[Debit]]</f>
        <v>-2995</v>
      </c>
      <c r="M41" s="29">
        <f>Table545[[#This Row],[Difference]]+M40</f>
        <v>84690.700000000012</v>
      </c>
      <c r="N41" s="29"/>
      <c r="O41" s="29" t="s">
        <v>29</v>
      </c>
      <c r="P41" s="29" t="s">
        <v>30</v>
      </c>
      <c r="Q41" s="151"/>
    </row>
    <row r="42" spans="2:17" x14ac:dyDescent="0.2">
      <c r="B42" s="197">
        <v>41</v>
      </c>
      <c r="C42" s="24" t="s">
        <v>34</v>
      </c>
      <c r="D42" s="15" t="s">
        <v>95</v>
      </c>
      <c r="E42" s="46">
        <v>42871</v>
      </c>
      <c r="F42" s="29"/>
      <c r="G42" s="29"/>
      <c r="H42" s="47">
        <v>0</v>
      </c>
      <c r="I42" s="47"/>
      <c r="J42" s="29"/>
      <c r="K42" s="29">
        <v>1157</v>
      </c>
      <c r="L42" s="29">
        <f>Table545[[#This Row],[Credit]]-Table545[[#This Row],[Debit]]</f>
        <v>-1157</v>
      </c>
      <c r="M42" s="29">
        <f>Table545[[#This Row],[Difference]]+M41</f>
        <v>83533.700000000012</v>
      </c>
      <c r="N42" s="29"/>
      <c r="O42" s="29" t="s">
        <v>29</v>
      </c>
      <c r="P42" s="29" t="s">
        <v>30</v>
      </c>
      <c r="Q42" s="149"/>
    </row>
    <row r="43" spans="2:17" x14ac:dyDescent="0.2">
      <c r="B43" s="197">
        <v>43</v>
      </c>
      <c r="C43" s="24" t="s">
        <v>34</v>
      </c>
      <c r="D43" s="15" t="s">
        <v>97</v>
      </c>
      <c r="E43" s="46">
        <v>42872</v>
      </c>
      <c r="F43" s="29"/>
      <c r="G43" s="29"/>
      <c r="H43" s="47">
        <v>0</v>
      </c>
      <c r="I43" s="47"/>
      <c r="J43" s="29"/>
      <c r="K43" s="29">
        <v>28.75</v>
      </c>
      <c r="L43" s="29">
        <f>Table545[[#This Row],[Credit]]-Table545[[#This Row],[Debit]]</f>
        <v>-28.75</v>
      </c>
      <c r="M43" s="29">
        <f>Table545[[#This Row],[Difference]]+M42</f>
        <v>83504.950000000012</v>
      </c>
      <c r="N43" s="29"/>
      <c r="O43" s="29" t="s">
        <v>81</v>
      </c>
      <c r="P43" s="29" t="s">
        <v>82</v>
      </c>
      <c r="Q43" s="149"/>
    </row>
    <row r="44" spans="2:17" x14ac:dyDescent="0.2">
      <c r="B44" s="197">
        <v>44</v>
      </c>
      <c r="C44" s="24" t="s">
        <v>34</v>
      </c>
      <c r="D44" s="15" t="s">
        <v>98</v>
      </c>
      <c r="E44" s="46">
        <v>42872</v>
      </c>
      <c r="F44" s="29"/>
      <c r="G44" s="29"/>
      <c r="H44" s="47">
        <v>0</v>
      </c>
      <c r="I44" s="47"/>
      <c r="J44" s="29"/>
      <c r="K44" s="29">
        <v>160</v>
      </c>
      <c r="L44" s="29">
        <f>Table545[[#This Row],[Credit]]-Table545[[#This Row],[Debit]]</f>
        <v>-160</v>
      </c>
      <c r="M44" s="29">
        <f>Table545[[#This Row],[Difference]]+M43</f>
        <v>83344.950000000012</v>
      </c>
      <c r="N44" s="29"/>
      <c r="O44" s="29" t="s">
        <v>29</v>
      </c>
      <c r="P44" s="29" t="s">
        <v>30</v>
      </c>
      <c r="Q44" s="149"/>
    </row>
    <row r="45" spans="2:17" x14ac:dyDescent="0.2">
      <c r="B45" s="197">
        <v>46</v>
      </c>
      <c r="C45" s="24" t="s">
        <v>34</v>
      </c>
      <c r="D45" s="15" t="s">
        <v>99</v>
      </c>
      <c r="E45" s="46">
        <v>42874</v>
      </c>
      <c r="F45" s="29"/>
      <c r="G45" s="29"/>
      <c r="H45" s="47">
        <v>0</v>
      </c>
      <c r="I45" s="47"/>
      <c r="J45" s="29"/>
      <c r="K45" s="29">
        <v>7000</v>
      </c>
      <c r="L45" s="29">
        <f>Table545[[#This Row],[Credit]]-Table545[[#This Row],[Debit]]</f>
        <v>-7000</v>
      </c>
      <c r="M45" s="29">
        <f>Table545[[#This Row],[Difference]]+M44</f>
        <v>76344.950000000012</v>
      </c>
      <c r="N45" s="29"/>
      <c r="O45" s="29" t="s">
        <v>81</v>
      </c>
      <c r="P45" s="29" t="s">
        <v>48</v>
      </c>
      <c r="Q45" s="149"/>
    </row>
    <row r="46" spans="2:17" x14ac:dyDescent="0.2">
      <c r="B46" s="197">
        <v>48</v>
      </c>
      <c r="C46" s="24" t="s">
        <v>34</v>
      </c>
      <c r="D46" s="15" t="s">
        <v>100</v>
      </c>
      <c r="E46" s="46">
        <v>42874</v>
      </c>
      <c r="F46" s="29"/>
      <c r="G46" s="29"/>
      <c r="H46" s="47">
        <v>0</v>
      </c>
      <c r="I46" s="47"/>
      <c r="J46" s="29"/>
      <c r="K46" s="29">
        <v>956.99</v>
      </c>
      <c r="L46" s="29">
        <f>Table545[[#This Row],[Credit]]-Table545[[#This Row],[Debit]]</f>
        <v>-956.99</v>
      </c>
      <c r="M46" s="29">
        <f>Table545[[#This Row],[Difference]]+M45</f>
        <v>75387.960000000006</v>
      </c>
      <c r="N46" s="29"/>
      <c r="O46" s="29" t="s">
        <v>81</v>
      </c>
      <c r="P46" s="29" t="s">
        <v>30</v>
      </c>
      <c r="Q46" s="149"/>
    </row>
    <row r="47" spans="2:17" x14ac:dyDescent="0.2">
      <c r="B47" s="197">
        <v>49</v>
      </c>
      <c r="C47" s="24" t="s">
        <v>34</v>
      </c>
      <c r="D47" s="15" t="s">
        <v>101</v>
      </c>
      <c r="E47" s="46">
        <v>42874</v>
      </c>
      <c r="F47" s="29"/>
      <c r="G47" s="29"/>
      <c r="H47" s="47">
        <v>0</v>
      </c>
      <c r="I47" s="47"/>
      <c r="J47" s="25">
        <v>11181.9</v>
      </c>
      <c r="K47" s="29">
        <v>11181.9</v>
      </c>
      <c r="L47" s="29">
        <f>Table545[[#This Row],[Credit]]-Table545[[#This Row],[Debit]]</f>
        <v>0</v>
      </c>
      <c r="M47" s="29">
        <f>Table545[[#This Row],[Difference]]+M46</f>
        <v>75387.960000000006</v>
      </c>
      <c r="N47" s="29"/>
      <c r="O47" s="29" t="s">
        <v>81</v>
      </c>
      <c r="P47" s="29" t="s">
        <v>48</v>
      </c>
      <c r="Q47" s="149"/>
    </row>
    <row r="48" spans="2:17" x14ac:dyDescent="0.2">
      <c r="B48" s="197">
        <v>50</v>
      </c>
      <c r="C48" s="24" t="s">
        <v>34</v>
      </c>
      <c r="D48" s="15" t="s">
        <v>102</v>
      </c>
      <c r="E48" s="46">
        <v>42877</v>
      </c>
      <c r="F48" s="29"/>
      <c r="G48" s="29"/>
      <c r="H48" s="47">
        <v>0</v>
      </c>
      <c r="I48" s="47"/>
      <c r="J48" s="29"/>
      <c r="K48" s="29">
        <v>3800</v>
      </c>
      <c r="L48" s="29">
        <f>Table545[[#This Row],[Credit]]-Table545[[#This Row],[Debit]]</f>
        <v>-3800</v>
      </c>
      <c r="M48" s="29">
        <f>Table545[[#This Row],[Difference]]+M47</f>
        <v>71587.960000000006</v>
      </c>
      <c r="N48" s="29"/>
      <c r="O48" s="29" t="s">
        <v>81</v>
      </c>
      <c r="P48" s="29" t="s">
        <v>103</v>
      </c>
      <c r="Q48" s="149"/>
    </row>
    <row r="49" spans="2:17" x14ac:dyDescent="0.2">
      <c r="B49" s="197">
        <v>51</v>
      </c>
      <c r="C49" s="24" t="s">
        <v>34</v>
      </c>
      <c r="D49" s="15" t="s">
        <v>104</v>
      </c>
      <c r="E49" s="46">
        <v>42887</v>
      </c>
      <c r="F49" s="29"/>
      <c r="G49" s="29"/>
      <c r="H49" s="47">
        <v>0</v>
      </c>
      <c r="I49" s="47"/>
      <c r="J49" s="29"/>
      <c r="K49" s="29">
        <v>15000</v>
      </c>
      <c r="L49" s="29">
        <f>Table545[[#This Row],[Credit]]-Table545[[#This Row],[Debit]]</f>
        <v>-15000</v>
      </c>
      <c r="M49" s="29">
        <f>Table545[[#This Row],[Difference]]+M48</f>
        <v>56587.960000000006</v>
      </c>
      <c r="N49" s="29"/>
      <c r="O49" s="29" t="s">
        <v>25</v>
      </c>
      <c r="P49" s="29" t="s">
        <v>48</v>
      </c>
      <c r="Q49" s="149"/>
    </row>
    <row r="50" spans="2:17" x14ac:dyDescent="0.2">
      <c r="B50" s="197">
        <v>52</v>
      </c>
      <c r="C50" s="24" t="s">
        <v>34</v>
      </c>
      <c r="D50" s="15" t="s">
        <v>105</v>
      </c>
      <c r="E50" s="46">
        <v>42887</v>
      </c>
      <c r="F50" s="29"/>
      <c r="G50" s="29"/>
      <c r="H50" s="47">
        <v>0</v>
      </c>
      <c r="I50" s="47"/>
      <c r="J50" s="29"/>
      <c r="K50" s="29">
        <v>9800</v>
      </c>
      <c r="L50" s="29">
        <f>Table545[[#This Row],[Credit]]-Table545[[#This Row],[Debit]]</f>
        <v>-9800</v>
      </c>
      <c r="M50" s="29">
        <f>Table545[[#This Row],[Difference]]+M49</f>
        <v>46787.960000000006</v>
      </c>
      <c r="N50" s="29"/>
      <c r="O50" s="29" t="s">
        <v>29</v>
      </c>
      <c r="P50" s="29" t="s">
        <v>86</v>
      </c>
      <c r="Q50" s="149"/>
    </row>
    <row r="51" spans="2:17" x14ac:dyDescent="0.2">
      <c r="B51" s="197">
        <v>53</v>
      </c>
      <c r="C51" s="24" t="s">
        <v>34</v>
      </c>
      <c r="D51" s="15" t="s">
        <v>106</v>
      </c>
      <c r="E51" s="46">
        <v>42887</v>
      </c>
      <c r="F51" s="29"/>
      <c r="G51" s="29"/>
      <c r="H51" s="47">
        <v>0</v>
      </c>
      <c r="I51" s="47"/>
      <c r="J51" s="29"/>
      <c r="K51" s="29">
        <v>9800</v>
      </c>
      <c r="L51" s="29">
        <f>Table545[[#This Row],[Credit]]-Table545[[#This Row],[Debit]]</f>
        <v>-9800</v>
      </c>
      <c r="M51" s="29">
        <f>Table545[[#This Row],[Difference]]+M50</f>
        <v>36987.960000000006</v>
      </c>
      <c r="N51" s="29"/>
      <c r="O51" s="29" t="s">
        <v>29</v>
      </c>
      <c r="P51" s="29" t="s">
        <v>86</v>
      </c>
      <c r="Q51" s="149"/>
    </row>
    <row r="52" spans="2:17" x14ac:dyDescent="0.2">
      <c r="B52" s="197">
        <v>54</v>
      </c>
      <c r="C52" s="24" t="s">
        <v>34</v>
      </c>
      <c r="D52" s="15" t="s">
        <v>107</v>
      </c>
      <c r="E52" s="46">
        <v>42887</v>
      </c>
      <c r="F52" s="29"/>
      <c r="G52" s="29"/>
      <c r="H52" s="47">
        <v>0</v>
      </c>
      <c r="I52" s="47"/>
      <c r="J52" s="29"/>
      <c r="K52" s="29">
        <v>9800</v>
      </c>
      <c r="L52" s="29">
        <f>Table545[[#This Row],[Credit]]-Table545[[#This Row],[Debit]]</f>
        <v>-9800</v>
      </c>
      <c r="M52" s="29">
        <f>Table545[[#This Row],[Difference]]+M51</f>
        <v>27187.960000000006</v>
      </c>
      <c r="N52" s="29"/>
      <c r="O52" s="29" t="s">
        <v>29</v>
      </c>
      <c r="P52" s="29" t="s">
        <v>86</v>
      </c>
      <c r="Q52" s="149"/>
    </row>
    <row r="53" spans="2:17" x14ac:dyDescent="0.2">
      <c r="B53" s="197">
        <v>55</v>
      </c>
      <c r="C53" s="24" t="s">
        <v>34</v>
      </c>
      <c r="D53" s="15" t="s">
        <v>108</v>
      </c>
      <c r="E53" s="46">
        <v>42887</v>
      </c>
      <c r="F53" s="29"/>
      <c r="G53" s="29"/>
      <c r="H53" s="47">
        <v>0</v>
      </c>
      <c r="I53" s="47"/>
      <c r="J53" s="29"/>
      <c r="K53" s="29">
        <v>8000</v>
      </c>
      <c r="L53" s="29">
        <f>Table545[[#This Row],[Credit]]-Table545[[#This Row],[Debit]]</f>
        <v>-8000</v>
      </c>
      <c r="M53" s="29">
        <f>Table545[[#This Row],[Difference]]+M52</f>
        <v>19187.960000000006</v>
      </c>
      <c r="N53" s="29"/>
      <c r="O53" s="29" t="s">
        <v>29</v>
      </c>
      <c r="P53" s="29" t="s">
        <v>86</v>
      </c>
      <c r="Q53" s="149"/>
    </row>
    <row r="54" spans="2:17" x14ac:dyDescent="0.2">
      <c r="B54" s="197">
        <v>56</v>
      </c>
      <c r="C54" s="24" t="s">
        <v>34</v>
      </c>
      <c r="D54" s="15" t="s">
        <v>109</v>
      </c>
      <c r="E54" s="46">
        <v>42887</v>
      </c>
      <c r="F54" s="29"/>
      <c r="G54" s="29"/>
      <c r="H54" s="47">
        <v>0</v>
      </c>
      <c r="I54" s="47"/>
      <c r="J54" s="29"/>
      <c r="K54" s="29">
        <v>1200</v>
      </c>
      <c r="L54" s="29">
        <f>Table545[[#This Row],[Credit]]-Table545[[#This Row],[Debit]]</f>
        <v>-1200</v>
      </c>
      <c r="M54" s="29">
        <f>Table545[[#This Row],[Difference]]+M53</f>
        <v>17987.960000000006</v>
      </c>
      <c r="N54" s="29"/>
      <c r="O54" s="29" t="s">
        <v>29</v>
      </c>
      <c r="P54" s="29" t="s">
        <v>86</v>
      </c>
      <c r="Q54" s="149"/>
    </row>
    <row r="55" spans="2:17" x14ac:dyDescent="0.2">
      <c r="B55" s="197">
        <v>57</v>
      </c>
      <c r="C55" s="24" t="s">
        <v>34</v>
      </c>
      <c r="D55" s="15" t="s">
        <v>110</v>
      </c>
      <c r="E55" s="46">
        <v>42887</v>
      </c>
      <c r="F55" s="29"/>
      <c r="G55" s="29"/>
      <c r="H55" s="47">
        <v>0</v>
      </c>
      <c r="I55" s="47"/>
      <c r="J55" s="29"/>
      <c r="K55" s="29">
        <v>1000</v>
      </c>
      <c r="L55" s="29">
        <f>Table545[[#This Row],[Credit]]-Table545[[#This Row],[Debit]]</f>
        <v>-1000</v>
      </c>
      <c r="M55" s="29">
        <f>Table545[[#This Row],[Difference]]+M54</f>
        <v>16987.960000000006</v>
      </c>
      <c r="N55" s="29"/>
      <c r="O55" s="29" t="s">
        <v>29</v>
      </c>
      <c r="P55" s="29" t="s">
        <v>44</v>
      </c>
      <c r="Q55" s="149"/>
    </row>
    <row r="56" spans="2:17" x14ac:dyDescent="0.2">
      <c r="B56" s="197">
        <v>58</v>
      </c>
      <c r="C56" s="24" t="s">
        <v>34</v>
      </c>
      <c r="D56" s="15" t="s">
        <v>111</v>
      </c>
      <c r="E56" s="46">
        <v>42893</v>
      </c>
      <c r="F56" s="29"/>
      <c r="G56" s="29"/>
      <c r="H56" s="47">
        <v>0</v>
      </c>
      <c r="I56" s="47"/>
      <c r="J56" s="29"/>
      <c r="K56" s="29">
        <v>1708</v>
      </c>
      <c r="L56" s="29">
        <f>Table545[[#This Row],[Credit]]-Table545[[#This Row],[Debit]]</f>
        <v>-1708</v>
      </c>
      <c r="M56" s="29">
        <f>Table545[[#This Row],[Difference]]+M55</f>
        <v>15279.960000000006</v>
      </c>
      <c r="N56" s="29"/>
      <c r="O56" s="29" t="s">
        <v>29</v>
      </c>
      <c r="P56" s="29" t="s">
        <v>112</v>
      </c>
      <c r="Q56" s="149"/>
    </row>
    <row r="57" spans="2:17" x14ac:dyDescent="0.2">
      <c r="B57" s="197">
        <v>59</v>
      </c>
      <c r="C57" s="24" t="s">
        <v>34</v>
      </c>
      <c r="D57" s="15" t="s">
        <v>279</v>
      </c>
      <c r="E57" s="46">
        <v>42893</v>
      </c>
      <c r="F57" s="29"/>
      <c r="G57" s="29"/>
      <c r="H57" s="47">
        <v>0</v>
      </c>
      <c r="I57" s="47"/>
      <c r="J57" s="29"/>
      <c r="K57" s="29">
        <v>3023</v>
      </c>
      <c r="L57" s="29">
        <f>Table545[[#This Row],[Credit]]-Table545[[#This Row],[Debit]]</f>
        <v>-3023</v>
      </c>
      <c r="M57" s="29">
        <f>Table545[[#This Row],[Difference]]+M56</f>
        <v>12256.960000000006</v>
      </c>
      <c r="N57" s="29"/>
      <c r="O57" s="29" t="s">
        <v>29</v>
      </c>
      <c r="P57" s="29" t="s">
        <v>48</v>
      </c>
      <c r="Q57" s="149"/>
    </row>
    <row r="58" spans="2:17" x14ac:dyDescent="0.2">
      <c r="B58" s="197">
        <v>60</v>
      </c>
      <c r="C58" s="24" t="s">
        <v>34</v>
      </c>
      <c r="D58" s="15" t="s">
        <v>46</v>
      </c>
      <c r="E58" s="46">
        <v>42894</v>
      </c>
      <c r="F58" s="29"/>
      <c r="G58" s="29"/>
      <c r="H58" s="47">
        <v>0</v>
      </c>
      <c r="I58" s="47"/>
      <c r="J58" s="25">
        <v>106927</v>
      </c>
      <c r="K58" s="29"/>
      <c r="L58" s="29">
        <f>Table545[[#This Row],[Credit]]-Table545[[#This Row],[Debit]]</f>
        <v>106927</v>
      </c>
      <c r="M58" s="29">
        <f>Table545[[#This Row],[Difference]]+M57</f>
        <v>119183.96</v>
      </c>
      <c r="N58" s="29"/>
      <c r="O58" s="29" t="s">
        <v>25</v>
      </c>
      <c r="P58" s="29" t="s">
        <v>48</v>
      </c>
      <c r="Q58" s="149"/>
    </row>
    <row r="59" spans="2:17" x14ac:dyDescent="0.2">
      <c r="B59" s="197">
        <v>61</v>
      </c>
      <c r="C59" s="24" t="s">
        <v>34</v>
      </c>
      <c r="D59" s="15" t="s">
        <v>113</v>
      </c>
      <c r="E59" s="46">
        <v>42894</v>
      </c>
      <c r="F59" s="29"/>
      <c r="G59" s="29"/>
      <c r="H59" s="47">
        <v>0</v>
      </c>
      <c r="I59" s="47"/>
      <c r="J59" s="29"/>
      <c r="K59" s="29">
        <v>1523</v>
      </c>
      <c r="L59" s="29">
        <f>Table545[[#This Row],[Credit]]-Table545[[#This Row],[Debit]]</f>
        <v>-1523</v>
      </c>
      <c r="M59" s="29">
        <f>Table545[[#This Row],[Difference]]+M58</f>
        <v>117660.96</v>
      </c>
      <c r="N59" s="29"/>
      <c r="O59" s="29" t="s">
        <v>29</v>
      </c>
      <c r="P59" s="29" t="s">
        <v>30</v>
      </c>
      <c r="Q59" s="149"/>
    </row>
    <row r="60" spans="2:17" x14ac:dyDescent="0.2">
      <c r="B60" s="197">
        <v>62</v>
      </c>
      <c r="C60" s="24" t="s">
        <v>34</v>
      </c>
      <c r="D60" s="15" t="s">
        <v>114</v>
      </c>
      <c r="E60" s="46">
        <v>42900</v>
      </c>
      <c r="F60" s="29"/>
      <c r="G60" s="29"/>
      <c r="H60" s="47">
        <v>0</v>
      </c>
      <c r="I60" s="47"/>
      <c r="J60" s="29"/>
      <c r="K60" s="29">
        <v>16223</v>
      </c>
      <c r="L60" s="29">
        <f>Table545[[#This Row],[Credit]]-Table545[[#This Row],[Debit]]</f>
        <v>-16223</v>
      </c>
      <c r="M60" s="29">
        <f>Table545[[#This Row],[Difference]]+M59</f>
        <v>101437.96</v>
      </c>
      <c r="N60" s="29"/>
      <c r="O60" s="29" t="s">
        <v>29</v>
      </c>
      <c r="P60" s="29" t="s">
        <v>44</v>
      </c>
      <c r="Q60" s="149"/>
    </row>
    <row r="61" spans="2:17" x14ac:dyDescent="0.2">
      <c r="B61" s="197">
        <v>63</v>
      </c>
      <c r="C61" s="24" t="s">
        <v>34</v>
      </c>
      <c r="D61" s="15" t="s">
        <v>115</v>
      </c>
      <c r="E61" s="46">
        <v>42900</v>
      </c>
      <c r="F61" s="29"/>
      <c r="G61" s="29"/>
      <c r="H61" s="47">
        <v>0</v>
      </c>
      <c r="I61" s="47"/>
      <c r="J61" s="29"/>
      <c r="K61" s="29">
        <v>3799</v>
      </c>
      <c r="L61" s="29">
        <f>Table545[[#This Row],[Credit]]-Table545[[#This Row],[Debit]]</f>
        <v>-3799</v>
      </c>
      <c r="M61" s="29">
        <f>Table545[[#This Row],[Difference]]+M60</f>
        <v>97638.96</v>
      </c>
      <c r="N61" s="29"/>
      <c r="O61" s="29" t="s">
        <v>29</v>
      </c>
      <c r="P61" s="29" t="s">
        <v>30</v>
      </c>
      <c r="Q61" s="149"/>
    </row>
    <row r="62" spans="2:17" x14ac:dyDescent="0.2">
      <c r="B62" s="197">
        <v>64</v>
      </c>
      <c r="C62" s="24" t="s">
        <v>34</v>
      </c>
      <c r="D62" s="15" t="s">
        <v>116</v>
      </c>
      <c r="E62" s="46">
        <v>42900</v>
      </c>
      <c r="F62" s="29"/>
      <c r="G62" s="29"/>
      <c r="H62" s="47">
        <v>0</v>
      </c>
      <c r="I62" s="47"/>
      <c r="J62" s="29"/>
      <c r="K62" s="29">
        <v>287.5</v>
      </c>
      <c r="L62" s="29">
        <f>Table545[[#This Row],[Credit]]-Table545[[#This Row],[Debit]]</f>
        <v>-287.5</v>
      </c>
      <c r="M62" s="29">
        <f>Table545[[#This Row],[Difference]]+M61</f>
        <v>97351.46</v>
      </c>
      <c r="N62" s="29"/>
      <c r="O62" s="29" t="s">
        <v>81</v>
      </c>
      <c r="P62" s="29" t="s">
        <v>82</v>
      </c>
      <c r="Q62" s="149"/>
    </row>
    <row r="63" spans="2:17" x14ac:dyDescent="0.2">
      <c r="B63" s="197">
        <v>65</v>
      </c>
      <c r="C63" s="24" t="s">
        <v>34</v>
      </c>
      <c r="D63" s="15" t="s">
        <v>117</v>
      </c>
      <c r="E63" s="46">
        <v>42900</v>
      </c>
      <c r="F63" s="29"/>
      <c r="G63" s="29"/>
      <c r="H63" s="47">
        <v>0</v>
      </c>
      <c r="I63" s="47"/>
      <c r="J63" s="29"/>
      <c r="K63" s="29">
        <v>28.75</v>
      </c>
      <c r="L63" s="29">
        <f>Table545[[#This Row],[Credit]]-Table545[[#This Row],[Debit]]</f>
        <v>-28.75</v>
      </c>
      <c r="M63" s="29">
        <f>Table545[[#This Row],[Difference]]+M62</f>
        <v>97322.71</v>
      </c>
      <c r="N63" s="29"/>
      <c r="O63" s="29" t="s">
        <v>81</v>
      </c>
      <c r="P63" s="29" t="s">
        <v>82</v>
      </c>
      <c r="Q63" s="149"/>
    </row>
    <row r="64" spans="2:17" x14ac:dyDescent="0.2">
      <c r="B64" s="197">
        <v>68</v>
      </c>
      <c r="C64" s="24" t="s">
        <v>34</v>
      </c>
      <c r="D64" s="15" t="s">
        <v>119</v>
      </c>
      <c r="E64" s="46">
        <v>42902</v>
      </c>
      <c r="F64" s="29"/>
      <c r="G64" s="29"/>
      <c r="H64" s="47">
        <v>0</v>
      </c>
      <c r="I64" s="47"/>
      <c r="J64" s="29"/>
      <c r="K64" s="29">
        <v>4009.22</v>
      </c>
      <c r="L64" s="29">
        <f>Table545[[#This Row],[Credit]]-Table545[[#This Row],[Debit]]</f>
        <v>-4009.22</v>
      </c>
      <c r="M64" s="29">
        <f>Table545[[#This Row],[Difference]]+M63</f>
        <v>93313.49</v>
      </c>
      <c r="N64" s="29"/>
      <c r="O64" s="29" t="s">
        <v>29</v>
      </c>
      <c r="P64" s="29" t="s">
        <v>79</v>
      </c>
      <c r="Q64" s="149"/>
    </row>
    <row r="65" spans="2:17" x14ac:dyDescent="0.2">
      <c r="B65" s="197">
        <v>69</v>
      </c>
      <c r="C65" s="24" t="s">
        <v>34</v>
      </c>
      <c r="D65" s="15" t="s">
        <v>120</v>
      </c>
      <c r="E65" s="46">
        <v>42908</v>
      </c>
      <c r="F65" s="29"/>
      <c r="G65" s="29"/>
      <c r="H65" s="47">
        <v>0</v>
      </c>
      <c r="I65" s="47"/>
      <c r="J65" s="29"/>
      <c r="K65" s="29">
        <v>14.89</v>
      </c>
      <c r="L65" s="29">
        <f>Table545[[#This Row],[Credit]]-Table545[[#This Row],[Debit]]</f>
        <v>-14.89</v>
      </c>
      <c r="M65" s="29">
        <f>Table545[[#This Row],[Difference]]+M64</f>
        <v>93298.6</v>
      </c>
      <c r="N65" s="29"/>
      <c r="O65" s="29" t="s">
        <v>29</v>
      </c>
      <c r="P65" s="29" t="s">
        <v>79</v>
      </c>
      <c r="Q65" s="149"/>
    </row>
    <row r="66" spans="2:17" x14ac:dyDescent="0.2">
      <c r="B66" s="198">
        <v>70</v>
      </c>
      <c r="C66" s="24" t="s">
        <v>34</v>
      </c>
      <c r="D66" s="176" t="s">
        <v>121</v>
      </c>
      <c r="E66" s="173">
        <v>42913</v>
      </c>
      <c r="F66" s="174"/>
      <c r="G66" s="174"/>
      <c r="H66" s="47">
        <v>0</v>
      </c>
      <c r="I66" s="175"/>
      <c r="J66" s="174"/>
      <c r="K66" s="174">
        <v>5000</v>
      </c>
      <c r="L66" s="29">
        <f>Table545[[#This Row],[Credit]]-Table545[[#This Row],[Debit]]</f>
        <v>-5000</v>
      </c>
      <c r="M66" s="29">
        <f>Table545[[#This Row],[Difference]]+M65</f>
        <v>88298.6</v>
      </c>
      <c r="N66" s="174"/>
      <c r="O66" s="29" t="s">
        <v>81</v>
      </c>
      <c r="P66" s="174" t="s">
        <v>48</v>
      </c>
      <c r="Q66" s="149"/>
    </row>
    <row r="67" spans="2:17" x14ac:dyDescent="0.2">
      <c r="B67" s="198">
        <v>72</v>
      </c>
      <c r="C67" s="24" t="s">
        <v>34</v>
      </c>
      <c r="D67" s="15" t="s">
        <v>123</v>
      </c>
      <c r="E67" s="46">
        <v>42919</v>
      </c>
      <c r="F67" s="29"/>
      <c r="G67" s="29"/>
      <c r="H67" s="47">
        <v>0</v>
      </c>
      <c r="I67" s="47"/>
      <c r="J67" s="29"/>
      <c r="K67" s="29">
        <v>8000</v>
      </c>
      <c r="L67" s="29">
        <f>Table545[[#This Row],[Credit]]-Table545[[#This Row],[Debit]]</f>
        <v>-8000</v>
      </c>
      <c r="M67" s="29">
        <f>Table545[[#This Row],[Difference]]+M66</f>
        <v>80298.600000000006</v>
      </c>
      <c r="N67" s="29"/>
      <c r="O67" s="29" t="s">
        <v>29</v>
      </c>
      <c r="P67" s="29" t="s">
        <v>86</v>
      </c>
      <c r="Q67" s="149"/>
    </row>
    <row r="68" spans="2:17" x14ac:dyDescent="0.2">
      <c r="B68" s="197">
        <v>73</v>
      </c>
      <c r="C68" s="24" t="s">
        <v>34</v>
      </c>
      <c r="D68" s="15" t="s">
        <v>124</v>
      </c>
      <c r="E68" s="46">
        <v>42919</v>
      </c>
      <c r="F68" s="29"/>
      <c r="G68" s="29"/>
      <c r="H68" s="47">
        <v>0</v>
      </c>
      <c r="I68" s="47"/>
      <c r="J68" s="29"/>
      <c r="K68" s="29">
        <v>9800</v>
      </c>
      <c r="L68" s="29">
        <f>Table545[[#This Row],[Credit]]-Table545[[#This Row],[Debit]]</f>
        <v>-9800</v>
      </c>
      <c r="M68" s="29">
        <f>Table545[[#This Row],[Difference]]+M67</f>
        <v>70498.600000000006</v>
      </c>
      <c r="N68" s="29"/>
      <c r="O68" s="29" t="s">
        <v>29</v>
      </c>
      <c r="P68" s="29" t="s">
        <v>86</v>
      </c>
      <c r="Q68" s="149"/>
    </row>
    <row r="69" spans="2:17" x14ac:dyDescent="0.2">
      <c r="B69" s="197">
        <v>74</v>
      </c>
      <c r="C69" s="24" t="s">
        <v>34</v>
      </c>
      <c r="D69" s="15" t="s">
        <v>125</v>
      </c>
      <c r="E69" s="46">
        <v>42919</v>
      </c>
      <c r="F69" s="29"/>
      <c r="G69" s="29"/>
      <c r="H69" s="47">
        <v>0</v>
      </c>
      <c r="I69" s="47"/>
      <c r="J69" s="29"/>
      <c r="K69" s="29">
        <v>9800</v>
      </c>
      <c r="L69" s="29">
        <f>Table545[[#This Row],[Credit]]-Table545[[#This Row],[Debit]]</f>
        <v>-9800</v>
      </c>
      <c r="M69" s="29">
        <f>Table545[[#This Row],[Difference]]+M68</f>
        <v>60698.600000000006</v>
      </c>
      <c r="N69" s="29"/>
      <c r="O69" s="29" t="s">
        <v>29</v>
      </c>
      <c r="P69" s="29" t="s">
        <v>86</v>
      </c>
      <c r="Q69" s="149"/>
    </row>
    <row r="70" spans="2:17" x14ac:dyDescent="0.2">
      <c r="B70" s="198">
        <v>75</v>
      </c>
      <c r="C70" s="24" t="s">
        <v>34</v>
      </c>
      <c r="D70" s="15" t="s">
        <v>126</v>
      </c>
      <c r="E70" s="46">
        <v>42920</v>
      </c>
      <c r="F70" s="29"/>
      <c r="G70" s="29"/>
      <c r="H70" s="47">
        <v>0</v>
      </c>
      <c r="I70" s="47"/>
      <c r="J70" s="29"/>
      <c r="K70" s="29">
        <v>922</v>
      </c>
      <c r="L70" s="29">
        <f>Table545[[#This Row],[Credit]]-Table545[[#This Row],[Debit]]</f>
        <v>-922</v>
      </c>
      <c r="M70" s="29">
        <f>Table545[[#This Row],[Difference]]+M69</f>
        <v>59776.600000000006</v>
      </c>
      <c r="N70" s="29"/>
      <c r="O70" s="29" t="s">
        <v>29</v>
      </c>
      <c r="P70" s="29" t="s">
        <v>44</v>
      </c>
      <c r="Q70" s="149"/>
    </row>
    <row r="71" spans="2:17" x14ac:dyDescent="0.2">
      <c r="B71" s="197">
        <v>76</v>
      </c>
      <c r="C71" s="24" t="s">
        <v>34</v>
      </c>
      <c r="D71" s="15" t="s">
        <v>111</v>
      </c>
      <c r="E71" s="46">
        <v>42920</v>
      </c>
      <c r="F71" s="29"/>
      <c r="G71" s="29"/>
      <c r="H71" s="47">
        <v>0</v>
      </c>
      <c r="I71" s="47"/>
      <c r="J71" s="29"/>
      <c r="K71" s="29">
        <v>1086</v>
      </c>
      <c r="L71" s="29">
        <f>Table545[[#This Row],[Credit]]-Table545[[#This Row],[Debit]]</f>
        <v>-1086</v>
      </c>
      <c r="M71" s="29">
        <f>Table545[[#This Row],[Difference]]+M70</f>
        <v>58690.600000000006</v>
      </c>
      <c r="N71" s="29"/>
      <c r="O71" s="29" t="s">
        <v>29</v>
      </c>
      <c r="P71" s="29" t="s">
        <v>112</v>
      </c>
      <c r="Q71" s="149"/>
    </row>
    <row r="72" spans="2:17" x14ac:dyDescent="0.2">
      <c r="B72" s="197">
        <v>77</v>
      </c>
      <c r="C72" s="24" t="s">
        <v>34</v>
      </c>
      <c r="D72" s="15" t="s">
        <v>127</v>
      </c>
      <c r="E72" s="46">
        <v>42921</v>
      </c>
      <c r="F72" s="29"/>
      <c r="G72" s="29"/>
      <c r="H72" s="47">
        <v>0</v>
      </c>
      <c r="I72" s="47"/>
      <c r="J72" s="29"/>
      <c r="K72" s="29">
        <v>1200</v>
      </c>
      <c r="L72" s="29">
        <f>Table545[[#This Row],[Credit]]-Table545[[#This Row],[Debit]]</f>
        <v>-1200</v>
      </c>
      <c r="M72" s="29">
        <f>Table545[[#This Row],[Difference]]+M71</f>
        <v>57490.600000000006</v>
      </c>
      <c r="N72" s="29"/>
      <c r="O72" s="29" t="s">
        <v>29</v>
      </c>
      <c r="P72" s="29" t="s">
        <v>86</v>
      </c>
      <c r="Q72" s="149"/>
    </row>
    <row r="73" spans="2:17" x14ac:dyDescent="0.2">
      <c r="B73" s="197">
        <v>78</v>
      </c>
      <c r="C73" s="24" t="s">
        <v>34</v>
      </c>
      <c r="D73" s="15" t="s">
        <v>128</v>
      </c>
      <c r="E73" s="46">
        <v>42923</v>
      </c>
      <c r="F73" s="29"/>
      <c r="G73" s="29"/>
      <c r="H73" s="47">
        <v>0</v>
      </c>
      <c r="I73" s="47"/>
      <c r="J73" s="29"/>
      <c r="K73" s="29">
        <v>5000</v>
      </c>
      <c r="L73" s="29">
        <f>Table545[[#This Row],[Credit]]-Table545[[#This Row],[Debit]]</f>
        <v>-5000</v>
      </c>
      <c r="M73" s="29">
        <f>Table545[[#This Row],[Difference]]+M72</f>
        <v>52490.600000000006</v>
      </c>
      <c r="N73" s="29"/>
      <c r="O73" s="29" t="s">
        <v>29</v>
      </c>
      <c r="P73" s="29" t="s">
        <v>38</v>
      </c>
      <c r="Q73" s="149"/>
    </row>
    <row r="74" spans="2:17" x14ac:dyDescent="0.2">
      <c r="B74" s="197">
        <v>79</v>
      </c>
      <c r="C74" s="24" t="s">
        <v>34</v>
      </c>
      <c r="D74" s="15" t="s">
        <v>129</v>
      </c>
      <c r="E74" s="46">
        <v>42923</v>
      </c>
      <c r="F74" s="29"/>
      <c r="G74" s="29"/>
      <c r="H74" s="47">
        <v>0</v>
      </c>
      <c r="I74" s="47"/>
      <c r="J74" s="29"/>
      <c r="K74" s="29">
        <v>10350</v>
      </c>
      <c r="L74" s="29">
        <f>Table545[[#This Row],[Credit]]-Table545[[#This Row],[Debit]]</f>
        <v>-10350</v>
      </c>
      <c r="M74" s="29">
        <f>Table545[[#This Row],[Difference]]+M73</f>
        <v>42140.600000000006</v>
      </c>
      <c r="N74" s="29"/>
      <c r="O74" s="29" t="s">
        <v>29</v>
      </c>
      <c r="P74" s="29" t="s">
        <v>79</v>
      </c>
      <c r="Q74" s="149"/>
    </row>
    <row r="75" spans="2:17" x14ac:dyDescent="0.2">
      <c r="B75" s="197">
        <v>80</v>
      </c>
      <c r="C75" s="24" t="s">
        <v>34</v>
      </c>
      <c r="D75" s="15" t="s">
        <v>130</v>
      </c>
      <c r="E75" s="46">
        <v>42926</v>
      </c>
      <c r="F75" s="29"/>
      <c r="G75" s="29"/>
      <c r="H75" s="47">
        <v>0</v>
      </c>
      <c r="I75" s="47"/>
      <c r="J75" s="29"/>
      <c r="K75" s="29">
        <v>975</v>
      </c>
      <c r="L75" s="29">
        <f>Table545[[#This Row],[Credit]]-Table545[[#This Row],[Debit]]</f>
        <v>-975</v>
      </c>
      <c r="M75" s="29">
        <f>Table545[[#This Row],[Difference]]+M74</f>
        <v>41165.600000000006</v>
      </c>
      <c r="N75" s="29"/>
      <c r="O75" s="29" t="s">
        <v>29</v>
      </c>
      <c r="P75" s="29" t="s">
        <v>30</v>
      </c>
      <c r="Q75" s="149"/>
    </row>
    <row r="76" spans="2:17" x14ac:dyDescent="0.2">
      <c r="B76" s="197">
        <v>81</v>
      </c>
      <c r="C76" s="24" t="s">
        <v>34</v>
      </c>
      <c r="D76" s="15" t="s">
        <v>131</v>
      </c>
      <c r="E76" s="46">
        <v>42930</v>
      </c>
      <c r="F76" s="29"/>
      <c r="G76" s="29"/>
      <c r="H76" s="47">
        <v>0</v>
      </c>
      <c r="I76" s="47"/>
      <c r="J76" s="29"/>
      <c r="K76" s="29">
        <v>15525</v>
      </c>
      <c r="L76" s="29">
        <f>Table545[[#This Row],[Credit]]-Table545[[#This Row],[Debit]]</f>
        <v>-15525</v>
      </c>
      <c r="M76" s="29">
        <f>Table545[[#This Row],[Difference]]+M75</f>
        <v>25640.600000000006</v>
      </c>
      <c r="N76" s="29"/>
      <c r="O76" s="29" t="s">
        <v>29</v>
      </c>
      <c r="P76" s="29" t="s">
        <v>79</v>
      </c>
      <c r="Q76" s="149"/>
    </row>
    <row r="77" spans="2:17" x14ac:dyDescent="0.2">
      <c r="B77" s="197">
        <v>82</v>
      </c>
      <c r="C77" s="24" t="s">
        <v>34</v>
      </c>
      <c r="D77" s="15" t="s">
        <v>132</v>
      </c>
      <c r="E77" s="46">
        <v>42933</v>
      </c>
      <c r="F77" s="29"/>
      <c r="G77" s="29"/>
      <c r="H77" s="47">
        <v>0</v>
      </c>
      <c r="I77" s="47"/>
      <c r="J77" s="29"/>
      <c r="K77" s="29">
        <v>1038</v>
      </c>
      <c r="L77" s="29">
        <f>Table545[[#This Row],[Credit]]-Table545[[#This Row],[Debit]]</f>
        <v>-1038</v>
      </c>
      <c r="M77" s="29">
        <f>Table545[[#This Row],[Difference]]+M76</f>
        <v>24602.600000000006</v>
      </c>
      <c r="N77" s="29"/>
      <c r="O77" s="29" t="s">
        <v>29</v>
      </c>
      <c r="P77" s="29" t="s">
        <v>44</v>
      </c>
      <c r="Q77" s="149"/>
    </row>
    <row r="78" spans="2:17" x14ac:dyDescent="0.2">
      <c r="B78" s="197">
        <v>83</v>
      </c>
      <c r="C78" s="24" t="s">
        <v>34</v>
      </c>
      <c r="D78" s="15" t="s">
        <v>133</v>
      </c>
      <c r="E78" s="46">
        <v>42933</v>
      </c>
      <c r="F78" s="29"/>
      <c r="G78" s="29"/>
      <c r="H78" s="47">
        <v>0</v>
      </c>
      <c r="I78" s="47"/>
      <c r="J78" s="29"/>
      <c r="K78" s="29">
        <v>6190</v>
      </c>
      <c r="L78" s="29">
        <f>Table545[[#This Row],[Credit]]-Table545[[#This Row],[Debit]]</f>
        <v>-6190</v>
      </c>
      <c r="M78" s="29">
        <f>Table545[[#This Row],[Difference]]+M77</f>
        <v>18412.600000000006</v>
      </c>
      <c r="N78" s="29"/>
      <c r="O78" s="29" t="s">
        <v>29</v>
      </c>
      <c r="P78" s="29" t="s">
        <v>38</v>
      </c>
      <c r="Q78" s="149"/>
    </row>
    <row r="79" spans="2:17" x14ac:dyDescent="0.2">
      <c r="B79" s="197">
        <v>84</v>
      </c>
      <c r="C79" s="24" t="s">
        <v>34</v>
      </c>
      <c r="D79" s="176" t="s">
        <v>46</v>
      </c>
      <c r="E79" s="46">
        <v>42937</v>
      </c>
      <c r="F79" s="29"/>
      <c r="G79" s="29"/>
      <c r="H79" s="47">
        <v>0</v>
      </c>
      <c r="I79" s="47"/>
      <c r="J79" s="25">
        <v>108462</v>
      </c>
      <c r="K79" s="29"/>
      <c r="L79" s="29">
        <f>Table545[[#This Row],[Credit]]-Table545[[#This Row],[Debit]]</f>
        <v>108462</v>
      </c>
      <c r="M79" s="29">
        <f>Table545[[#This Row],[Difference]]+M78</f>
        <v>126874.6</v>
      </c>
      <c r="N79" s="29"/>
      <c r="O79" s="29" t="s">
        <v>25</v>
      </c>
      <c r="P79" s="29" t="s">
        <v>48</v>
      </c>
      <c r="Q79" s="149"/>
    </row>
    <row r="80" spans="2:17" x14ac:dyDescent="0.2">
      <c r="B80" s="197">
        <v>85</v>
      </c>
      <c r="C80" s="24" t="s">
        <v>34</v>
      </c>
      <c r="D80" s="15" t="s">
        <v>102</v>
      </c>
      <c r="E80" s="46">
        <v>42940</v>
      </c>
      <c r="F80" s="29"/>
      <c r="G80" s="29"/>
      <c r="H80" s="47">
        <v>0</v>
      </c>
      <c r="I80" s="47"/>
      <c r="J80" s="29"/>
      <c r="K80" s="29">
        <v>880</v>
      </c>
      <c r="L80" s="29">
        <f>Table545[[#This Row],[Credit]]-Table545[[#This Row],[Debit]]</f>
        <v>-880</v>
      </c>
      <c r="M80" s="29">
        <f>Table545[[#This Row],[Difference]]+M79</f>
        <v>125994.6</v>
      </c>
      <c r="N80" s="29"/>
      <c r="O80" s="29" t="s">
        <v>29</v>
      </c>
      <c r="P80" s="29" t="s">
        <v>103</v>
      </c>
      <c r="Q80" s="149"/>
    </row>
    <row r="81" spans="2:17" x14ac:dyDescent="0.2">
      <c r="B81" s="197">
        <v>86</v>
      </c>
      <c r="C81" s="24" t="s">
        <v>34</v>
      </c>
      <c r="D81" s="15" t="s">
        <v>134</v>
      </c>
      <c r="E81" s="46">
        <v>42941</v>
      </c>
      <c r="F81" s="29"/>
      <c r="G81" s="29"/>
      <c r="H81" s="47">
        <v>0</v>
      </c>
      <c r="I81" s="47"/>
      <c r="J81" s="29"/>
      <c r="K81" s="29">
        <v>2232</v>
      </c>
      <c r="L81" s="29">
        <f>Table545[[#This Row],[Credit]]-Table545[[#This Row],[Debit]]</f>
        <v>-2232</v>
      </c>
      <c r="M81" s="29">
        <f>Table545[[#This Row],[Difference]]+M80</f>
        <v>123762.6</v>
      </c>
      <c r="N81" s="29"/>
      <c r="O81" s="29" t="s">
        <v>29</v>
      </c>
      <c r="P81" s="29" t="s">
        <v>79</v>
      </c>
      <c r="Q81" s="149"/>
    </row>
    <row r="82" spans="2:17" x14ac:dyDescent="0.2">
      <c r="B82" s="197">
        <v>87</v>
      </c>
      <c r="C82" s="24" t="s">
        <v>34</v>
      </c>
      <c r="D82" s="15" t="s">
        <v>135</v>
      </c>
      <c r="E82" s="46">
        <v>42941</v>
      </c>
      <c r="F82" s="29"/>
      <c r="G82" s="29"/>
      <c r="H82" s="47">
        <v>0</v>
      </c>
      <c r="I82" s="47"/>
      <c r="J82" s="29"/>
      <c r="K82" s="29">
        <v>2232</v>
      </c>
      <c r="L82" s="29">
        <f>Table545[[#This Row],[Credit]]-Table545[[#This Row],[Debit]]</f>
        <v>-2232</v>
      </c>
      <c r="M82" s="29">
        <f>Table545[[#This Row],[Difference]]+M81</f>
        <v>121530.6</v>
      </c>
      <c r="N82" s="29"/>
      <c r="O82" s="29" t="s">
        <v>29</v>
      </c>
      <c r="P82" s="29" t="s">
        <v>79</v>
      </c>
      <c r="Q82" s="149"/>
    </row>
    <row r="83" spans="2:17" x14ac:dyDescent="0.2">
      <c r="B83" s="197">
        <v>88</v>
      </c>
      <c r="C83" s="24" t="s">
        <v>34</v>
      </c>
      <c r="D83" s="15" t="s">
        <v>136</v>
      </c>
      <c r="E83" s="46">
        <v>42943</v>
      </c>
      <c r="F83" s="29"/>
      <c r="G83" s="29"/>
      <c r="H83" s="47">
        <v>0</v>
      </c>
      <c r="I83" s="47"/>
      <c r="J83" s="29"/>
      <c r="K83" s="29">
        <v>970</v>
      </c>
      <c r="L83" s="29">
        <f>Table545[[#This Row],[Credit]]-Table545[[#This Row],[Debit]]</f>
        <v>-970</v>
      </c>
      <c r="M83" s="29">
        <f>Table545[[#This Row],[Difference]]+M82</f>
        <v>120560.6</v>
      </c>
      <c r="N83" s="29"/>
      <c r="O83" s="29" t="s">
        <v>29</v>
      </c>
      <c r="P83" s="29" t="s">
        <v>30</v>
      </c>
      <c r="Q83" s="149"/>
    </row>
    <row r="84" spans="2:17" x14ac:dyDescent="0.2">
      <c r="B84" s="197">
        <v>89</v>
      </c>
      <c r="C84" s="24" t="s">
        <v>34</v>
      </c>
      <c r="D84" s="15" t="s">
        <v>137</v>
      </c>
      <c r="E84" s="46">
        <v>42948</v>
      </c>
      <c r="F84" s="29"/>
      <c r="G84" s="29"/>
      <c r="H84" s="47">
        <v>0</v>
      </c>
      <c r="I84" s="47"/>
      <c r="J84" s="29"/>
      <c r="K84" s="29">
        <v>8000</v>
      </c>
      <c r="L84" s="29">
        <f>Table545[[#This Row],[Credit]]-Table545[[#This Row],[Debit]]</f>
        <v>-8000</v>
      </c>
      <c r="M84" s="29">
        <f>Table545[[#This Row],[Difference]]+M83</f>
        <v>112560.6</v>
      </c>
      <c r="N84" s="29"/>
      <c r="O84" s="29" t="s">
        <v>29</v>
      </c>
      <c r="P84" s="29" t="s">
        <v>86</v>
      </c>
      <c r="Q84" s="149"/>
    </row>
    <row r="85" spans="2:17" x14ac:dyDescent="0.2">
      <c r="B85" s="197">
        <v>90</v>
      </c>
      <c r="C85" s="24" t="s">
        <v>34</v>
      </c>
      <c r="D85" s="15" t="s">
        <v>138</v>
      </c>
      <c r="E85" s="46">
        <v>42948</v>
      </c>
      <c r="F85" s="29"/>
      <c r="G85" s="29"/>
      <c r="H85" s="47">
        <v>0</v>
      </c>
      <c r="I85" s="47"/>
      <c r="J85" s="29"/>
      <c r="K85" s="29">
        <v>9800</v>
      </c>
      <c r="L85" s="29">
        <f>Table545[[#This Row],[Credit]]-Table545[[#This Row],[Debit]]</f>
        <v>-9800</v>
      </c>
      <c r="M85" s="29">
        <f>Table545[[#This Row],[Difference]]+M84</f>
        <v>102760.6</v>
      </c>
      <c r="N85" s="29"/>
      <c r="O85" s="29" t="s">
        <v>29</v>
      </c>
      <c r="P85" s="29" t="s">
        <v>86</v>
      </c>
      <c r="Q85" s="151"/>
    </row>
    <row r="86" spans="2:17" x14ac:dyDescent="0.2">
      <c r="B86" s="197">
        <v>91</v>
      </c>
      <c r="C86" s="24" t="s">
        <v>34</v>
      </c>
      <c r="D86" s="15" t="s">
        <v>139</v>
      </c>
      <c r="E86" s="46">
        <v>42948</v>
      </c>
      <c r="F86" s="29"/>
      <c r="G86" s="29"/>
      <c r="H86" s="47">
        <v>0</v>
      </c>
      <c r="I86" s="47"/>
      <c r="J86" s="29"/>
      <c r="K86" s="29">
        <v>1200</v>
      </c>
      <c r="L86" s="29">
        <f>Table545[[#This Row],[Credit]]-Table545[[#This Row],[Debit]]</f>
        <v>-1200</v>
      </c>
      <c r="M86" s="29">
        <f>Table545[[#This Row],[Difference]]+M85</f>
        <v>101560.6</v>
      </c>
      <c r="N86" s="29"/>
      <c r="O86" s="29" t="s">
        <v>29</v>
      </c>
      <c r="P86" s="29" t="s">
        <v>86</v>
      </c>
      <c r="Q86" s="151"/>
    </row>
    <row r="87" spans="2:17" x14ac:dyDescent="0.2">
      <c r="B87" s="197">
        <v>92</v>
      </c>
      <c r="C87" s="24" t="s">
        <v>34</v>
      </c>
      <c r="D87" s="15" t="s">
        <v>111</v>
      </c>
      <c r="E87" s="46">
        <v>42948</v>
      </c>
      <c r="F87" s="29"/>
      <c r="G87" s="29"/>
      <c r="H87" s="47">
        <v>0</v>
      </c>
      <c r="I87" s="47"/>
      <c r="J87" s="29"/>
      <c r="K87" s="29">
        <v>2532</v>
      </c>
      <c r="L87" s="29">
        <f>Table545[[#This Row],[Credit]]-Table545[[#This Row],[Debit]]</f>
        <v>-2532</v>
      </c>
      <c r="M87" s="29">
        <f>Table545[[#This Row],[Difference]]+M86</f>
        <v>99028.6</v>
      </c>
      <c r="N87" s="29"/>
      <c r="O87" s="29" t="s">
        <v>29</v>
      </c>
      <c r="P87" s="29" t="s">
        <v>112</v>
      </c>
      <c r="Q87" s="149"/>
    </row>
    <row r="88" spans="2:17" x14ac:dyDescent="0.2">
      <c r="B88" s="197">
        <v>93</v>
      </c>
      <c r="C88" s="24" t="s">
        <v>34</v>
      </c>
      <c r="D88" s="15" t="s">
        <v>140</v>
      </c>
      <c r="E88" s="177">
        <v>42954</v>
      </c>
      <c r="F88" s="146"/>
      <c r="G88" s="146"/>
      <c r="H88" s="47">
        <v>0</v>
      </c>
      <c r="I88" s="178"/>
      <c r="J88" s="146"/>
      <c r="K88" s="146">
        <v>9000</v>
      </c>
      <c r="L88" s="29">
        <f>Table545[[#This Row],[Credit]]-Table545[[#This Row],[Debit]]</f>
        <v>-9000</v>
      </c>
      <c r="M88" s="29">
        <f>Table545[[#This Row],[Difference]]+M87</f>
        <v>90028.6</v>
      </c>
      <c r="N88" s="146"/>
      <c r="O88" s="29" t="s">
        <v>29</v>
      </c>
      <c r="P88" s="146" t="s">
        <v>86</v>
      </c>
      <c r="Q88" s="149"/>
    </row>
    <row r="89" spans="2:17" x14ac:dyDescent="0.2">
      <c r="B89" s="197">
        <v>94</v>
      </c>
      <c r="C89" s="24" t="s">
        <v>34</v>
      </c>
      <c r="D89" s="15" t="s">
        <v>141</v>
      </c>
      <c r="E89" s="177">
        <v>42956</v>
      </c>
      <c r="F89" s="146"/>
      <c r="G89" s="146"/>
      <c r="H89" s="47">
        <v>0</v>
      </c>
      <c r="I89" s="178"/>
      <c r="J89" s="146"/>
      <c r="K89" s="146">
        <v>25488</v>
      </c>
      <c r="L89" s="29">
        <f>Table545[[#This Row],[Credit]]-Table545[[#This Row],[Debit]]</f>
        <v>-25488</v>
      </c>
      <c r="M89" s="29">
        <f>Table545[[#This Row],[Difference]]+M88</f>
        <v>64540.600000000006</v>
      </c>
      <c r="N89" s="146"/>
      <c r="O89" s="29" t="s">
        <v>29</v>
      </c>
      <c r="P89" s="146" t="s">
        <v>86</v>
      </c>
      <c r="Q89" s="149"/>
    </row>
    <row r="90" spans="2:17" x14ac:dyDescent="0.2">
      <c r="B90" s="197">
        <v>96</v>
      </c>
      <c r="C90" s="24" t="s">
        <v>34</v>
      </c>
      <c r="D90" s="15" t="s">
        <v>117</v>
      </c>
      <c r="E90" s="177">
        <v>42957</v>
      </c>
      <c r="F90" s="146"/>
      <c r="G90" s="146"/>
      <c r="H90" s="47">
        <v>0</v>
      </c>
      <c r="I90" s="178"/>
      <c r="J90" s="146"/>
      <c r="K90" s="146">
        <v>29.5</v>
      </c>
      <c r="L90" s="29">
        <f>Table545[[#This Row],[Credit]]-Table545[[#This Row],[Debit]]</f>
        <v>-29.5</v>
      </c>
      <c r="M90" s="29">
        <f>Table545[[#This Row],[Difference]]+M89</f>
        <v>64511.100000000006</v>
      </c>
      <c r="N90" s="146"/>
      <c r="O90" s="29" t="s">
        <v>81</v>
      </c>
      <c r="P90" s="29" t="s">
        <v>82</v>
      </c>
      <c r="Q90" s="149"/>
    </row>
    <row r="91" spans="2:17" x14ac:dyDescent="0.2">
      <c r="B91" s="197">
        <v>97</v>
      </c>
      <c r="C91" s="24" t="s">
        <v>34</v>
      </c>
      <c r="D91" s="15" t="s">
        <v>142</v>
      </c>
      <c r="E91" s="177">
        <v>42960</v>
      </c>
      <c r="F91" s="146"/>
      <c r="G91" s="146"/>
      <c r="H91" s="47">
        <v>0</v>
      </c>
      <c r="I91" s="178"/>
      <c r="J91" s="146"/>
      <c r="K91" s="146">
        <v>1000</v>
      </c>
      <c r="L91" s="29">
        <f>Table545[[#This Row],[Credit]]-Table545[[#This Row],[Debit]]</f>
        <v>-1000</v>
      </c>
      <c r="M91" s="29">
        <f>Table545[[#This Row],[Difference]]+M90</f>
        <v>63511.100000000006</v>
      </c>
      <c r="N91" s="146"/>
      <c r="O91" s="29" t="s">
        <v>29</v>
      </c>
      <c r="P91" s="29" t="s">
        <v>30</v>
      </c>
      <c r="Q91" s="149"/>
    </row>
    <row r="92" spans="2:17" x14ac:dyDescent="0.2">
      <c r="B92" s="197">
        <v>98</v>
      </c>
      <c r="C92" s="24" t="s">
        <v>34</v>
      </c>
      <c r="D92" s="15" t="s">
        <v>143</v>
      </c>
      <c r="E92" s="177">
        <v>42965</v>
      </c>
      <c r="F92" s="146"/>
      <c r="G92" s="146"/>
      <c r="H92" s="47">
        <v>0</v>
      </c>
      <c r="I92" s="178"/>
      <c r="J92" s="146"/>
      <c r="K92" s="146">
        <v>740</v>
      </c>
      <c r="L92" s="29">
        <f>Table545[[#This Row],[Credit]]-Table545[[#This Row],[Debit]]</f>
        <v>-740</v>
      </c>
      <c r="M92" s="29">
        <f>Table545[[#This Row],[Difference]]+M91</f>
        <v>62771.100000000006</v>
      </c>
      <c r="N92" s="146"/>
      <c r="O92" s="29" t="s">
        <v>29</v>
      </c>
      <c r="P92" s="29" t="s">
        <v>112</v>
      </c>
      <c r="Q92" s="149" t="s">
        <v>285</v>
      </c>
    </row>
    <row r="93" spans="2:17" x14ac:dyDescent="0.2">
      <c r="B93" s="197">
        <v>99</v>
      </c>
      <c r="C93" s="24" t="s">
        <v>34</v>
      </c>
      <c r="D93" s="176" t="s">
        <v>144</v>
      </c>
      <c r="E93" s="177">
        <v>42965</v>
      </c>
      <c r="F93" s="146"/>
      <c r="G93" s="146"/>
      <c r="H93" s="47">
        <v>0</v>
      </c>
      <c r="I93" s="178"/>
      <c r="J93" s="146"/>
      <c r="K93" s="146">
        <v>740</v>
      </c>
      <c r="L93" s="29">
        <f>Table545[[#This Row],[Credit]]-Table545[[#This Row],[Debit]]</f>
        <v>-740</v>
      </c>
      <c r="M93" s="29">
        <f>Table545[[#This Row],[Difference]]+M92</f>
        <v>62031.100000000006</v>
      </c>
      <c r="N93" s="146"/>
      <c r="O93" s="29" t="s">
        <v>29</v>
      </c>
      <c r="P93" s="29" t="s">
        <v>112</v>
      </c>
      <c r="Q93" s="149" t="s">
        <v>285</v>
      </c>
    </row>
    <row r="94" spans="2:17" x14ac:dyDescent="0.2">
      <c r="B94" s="197">
        <v>100</v>
      </c>
      <c r="C94" s="24" t="s">
        <v>34</v>
      </c>
      <c r="D94" s="15" t="s">
        <v>145</v>
      </c>
      <c r="E94" s="177">
        <v>42965</v>
      </c>
      <c r="F94" s="146"/>
      <c r="G94" s="146"/>
      <c r="H94" s="47">
        <v>0</v>
      </c>
      <c r="I94" s="178"/>
      <c r="J94" s="146"/>
      <c r="K94" s="146">
        <v>740</v>
      </c>
      <c r="L94" s="29">
        <f>Table545[[#This Row],[Credit]]-Table545[[#This Row],[Debit]]</f>
        <v>-740</v>
      </c>
      <c r="M94" s="29">
        <f>Table545[[#This Row],[Difference]]+M93</f>
        <v>61291.100000000006</v>
      </c>
      <c r="N94" s="146"/>
      <c r="O94" s="29" t="s">
        <v>29</v>
      </c>
      <c r="P94" s="148" t="s">
        <v>112</v>
      </c>
      <c r="Q94" s="149"/>
    </row>
    <row r="95" spans="2:17" x14ac:dyDescent="0.2">
      <c r="B95" s="197">
        <v>101</v>
      </c>
      <c r="C95" s="24" t="s">
        <v>34</v>
      </c>
      <c r="D95" s="15" t="s">
        <v>115</v>
      </c>
      <c r="E95" s="46">
        <v>42975</v>
      </c>
      <c r="F95" s="29"/>
      <c r="G95" s="29"/>
      <c r="H95" s="47">
        <v>0</v>
      </c>
      <c r="I95" s="47"/>
      <c r="J95" s="29"/>
      <c r="K95" s="29">
        <v>950</v>
      </c>
      <c r="L95" s="29">
        <f>Table545[[#This Row],[Credit]]-Table545[[#This Row],[Debit]]</f>
        <v>-950</v>
      </c>
      <c r="M95" s="29">
        <f>Table545[[#This Row],[Difference]]+M94</f>
        <v>60341.100000000006</v>
      </c>
      <c r="N95" s="29"/>
      <c r="O95" s="29" t="s">
        <v>29</v>
      </c>
      <c r="P95" s="29" t="s">
        <v>30</v>
      </c>
      <c r="Q95" s="149"/>
    </row>
    <row r="96" spans="2:17" x14ac:dyDescent="0.2">
      <c r="B96" s="197">
        <v>102</v>
      </c>
      <c r="C96" s="24" t="s">
        <v>34</v>
      </c>
      <c r="D96" s="148" t="s">
        <v>146</v>
      </c>
      <c r="E96" s="177">
        <v>42975</v>
      </c>
      <c r="F96" s="146"/>
      <c r="G96" s="146"/>
      <c r="H96" s="47">
        <v>0</v>
      </c>
      <c r="I96" s="178"/>
      <c r="J96" s="146"/>
      <c r="K96" s="146">
        <v>1857</v>
      </c>
      <c r="L96" s="29">
        <f>Table545[[#This Row],[Credit]]-Table545[[#This Row],[Debit]]</f>
        <v>-1857</v>
      </c>
      <c r="M96" s="29">
        <f>Table545[[#This Row],[Difference]]+M95</f>
        <v>58484.100000000006</v>
      </c>
      <c r="N96" s="146"/>
      <c r="O96" s="29" t="s">
        <v>29</v>
      </c>
      <c r="P96" s="146" t="s">
        <v>44</v>
      </c>
      <c r="Q96" s="149"/>
    </row>
    <row r="97" spans="2:17" x14ac:dyDescent="0.2">
      <c r="B97" s="197">
        <v>103</v>
      </c>
      <c r="C97" s="24" t="s">
        <v>34</v>
      </c>
      <c r="D97" s="15" t="s">
        <v>147</v>
      </c>
      <c r="E97" s="177">
        <v>42977</v>
      </c>
      <c r="F97" s="146"/>
      <c r="G97" s="146"/>
      <c r="H97" s="47">
        <v>0</v>
      </c>
      <c r="I97" s="178"/>
      <c r="J97" s="146"/>
      <c r="K97" s="146">
        <v>837</v>
      </c>
      <c r="L97" s="29">
        <f>Table545[[#This Row],[Credit]]-Table545[[#This Row],[Debit]]</f>
        <v>-837</v>
      </c>
      <c r="M97" s="29">
        <f>Table545[[#This Row],[Difference]]+M96</f>
        <v>57647.100000000006</v>
      </c>
      <c r="N97" s="146"/>
      <c r="O97" s="29" t="s">
        <v>29</v>
      </c>
      <c r="P97" s="146" t="s">
        <v>79</v>
      </c>
      <c r="Q97" s="149"/>
    </row>
    <row r="98" spans="2:17" x14ac:dyDescent="0.2">
      <c r="B98" s="197">
        <v>104</v>
      </c>
      <c r="C98" s="24" t="s">
        <v>34</v>
      </c>
      <c r="D98" s="15" t="s">
        <v>148</v>
      </c>
      <c r="E98" s="177">
        <v>42979</v>
      </c>
      <c r="F98" s="146"/>
      <c r="G98" s="146"/>
      <c r="H98" s="47">
        <v>0</v>
      </c>
      <c r="I98" s="178"/>
      <c r="J98" s="146"/>
      <c r="K98" s="146">
        <v>9000</v>
      </c>
      <c r="L98" s="29">
        <f>Table545[[#This Row],[Credit]]-Table545[[#This Row],[Debit]]</f>
        <v>-9000</v>
      </c>
      <c r="M98" s="29">
        <f>Table545[[#This Row],[Difference]]+M97</f>
        <v>48647.100000000006</v>
      </c>
      <c r="N98" s="146"/>
      <c r="O98" s="29" t="s">
        <v>29</v>
      </c>
      <c r="P98" s="146" t="s">
        <v>86</v>
      </c>
      <c r="Q98" s="149"/>
    </row>
    <row r="99" spans="2:17" x14ac:dyDescent="0.2">
      <c r="B99" s="197">
        <v>105</v>
      </c>
      <c r="C99" s="24" t="s">
        <v>34</v>
      </c>
      <c r="D99" s="15" t="s">
        <v>149</v>
      </c>
      <c r="E99" s="177">
        <v>42979</v>
      </c>
      <c r="F99" s="146"/>
      <c r="G99" s="146"/>
      <c r="H99" s="47">
        <v>0</v>
      </c>
      <c r="I99" s="178"/>
      <c r="J99" s="146"/>
      <c r="K99" s="146">
        <v>10000</v>
      </c>
      <c r="L99" s="29">
        <f>Table545[[#This Row],[Credit]]-Table545[[#This Row],[Debit]]</f>
        <v>-10000</v>
      </c>
      <c r="M99" s="29">
        <f>Table545[[#This Row],[Difference]]+M98</f>
        <v>38647.100000000006</v>
      </c>
      <c r="N99" s="146"/>
      <c r="O99" s="29" t="s">
        <v>29</v>
      </c>
      <c r="P99" s="29" t="s">
        <v>86</v>
      </c>
      <c r="Q99" s="149"/>
    </row>
    <row r="100" spans="2:17" x14ac:dyDescent="0.2">
      <c r="B100" s="199">
        <v>106</v>
      </c>
      <c r="C100" s="24" t="s">
        <v>34</v>
      </c>
      <c r="D100" s="15" t="s">
        <v>150</v>
      </c>
      <c r="E100" s="177">
        <v>42979</v>
      </c>
      <c r="F100" s="146"/>
      <c r="G100" s="146"/>
      <c r="H100" s="47">
        <v>0</v>
      </c>
      <c r="I100" s="178"/>
      <c r="J100" s="146"/>
      <c r="K100" s="146">
        <v>10000</v>
      </c>
      <c r="L100" s="29">
        <f>Table545[[#This Row],[Credit]]-Table545[[#This Row],[Debit]]</f>
        <v>-10000</v>
      </c>
      <c r="M100" s="29">
        <f>Table545[[#This Row],[Difference]]+M99</f>
        <v>28647.100000000006</v>
      </c>
      <c r="N100" s="146"/>
      <c r="O100" s="29" t="s">
        <v>29</v>
      </c>
      <c r="P100" s="29" t="s">
        <v>86</v>
      </c>
      <c r="Q100" s="149"/>
    </row>
    <row r="101" spans="2:17" x14ac:dyDescent="0.2">
      <c r="B101" s="199">
        <v>107</v>
      </c>
      <c r="C101" s="24" t="s">
        <v>34</v>
      </c>
      <c r="D101" s="15" t="s">
        <v>151</v>
      </c>
      <c r="E101" s="177">
        <v>42979</v>
      </c>
      <c r="F101" s="146"/>
      <c r="G101" s="146"/>
      <c r="H101" s="47">
        <v>0</v>
      </c>
      <c r="I101" s="178"/>
      <c r="J101" s="146"/>
      <c r="K101" s="146">
        <v>1200</v>
      </c>
      <c r="L101" s="29">
        <f>Table545[[#This Row],[Credit]]-Table545[[#This Row],[Debit]]</f>
        <v>-1200</v>
      </c>
      <c r="M101" s="29">
        <f>Table545[[#This Row],[Difference]]+M100</f>
        <v>27447.100000000006</v>
      </c>
      <c r="N101" s="146"/>
      <c r="O101" s="29" t="s">
        <v>29</v>
      </c>
      <c r="P101" s="29" t="s">
        <v>86</v>
      </c>
      <c r="Q101" s="149"/>
    </row>
    <row r="102" spans="2:17" x14ac:dyDescent="0.2">
      <c r="B102" s="199">
        <v>108</v>
      </c>
      <c r="C102" s="24" t="s">
        <v>34</v>
      </c>
      <c r="D102" s="148" t="s">
        <v>152</v>
      </c>
      <c r="E102" s="177">
        <v>42980</v>
      </c>
      <c r="F102" s="146"/>
      <c r="G102" s="146"/>
      <c r="H102" s="47">
        <v>0</v>
      </c>
      <c r="I102" s="178"/>
      <c r="J102" s="146"/>
      <c r="K102" s="146">
        <v>6023.6</v>
      </c>
      <c r="L102" s="29">
        <f>Table545[[#This Row],[Credit]]-Table545[[#This Row],[Debit]]</f>
        <v>-6023.6</v>
      </c>
      <c r="M102" s="29">
        <f>Table545[[#This Row],[Difference]]+M101</f>
        <v>21423.500000000007</v>
      </c>
      <c r="N102" s="146"/>
      <c r="O102" s="146" t="s">
        <v>29</v>
      </c>
      <c r="P102" s="146" t="s">
        <v>38</v>
      </c>
      <c r="Q102" s="149"/>
    </row>
    <row r="103" spans="2:17" x14ac:dyDescent="0.2">
      <c r="B103" s="199">
        <v>109</v>
      </c>
      <c r="C103" s="24" t="s">
        <v>34</v>
      </c>
      <c r="D103" s="148" t="s">
        <v>111</v>
      </c>
      <c r="E103" s="177">
        <v>42981</v>
      </c>
      <c r="F103" s="146"/>
      <c r="G103" s="146"/>
      <c r="H103" s="47">
        <v>0</v>
      </c>
      <c r="I103" s="178"/>
      <c r="J103" s="146"/>
      <c r="K103" s="146">
        <v>2344</v>
      </c>
      <c r="L103" s="29">
        <f>Table545[[#This Row],[Credit]]-Table545[[#This Row],[Debit]]</f>
        <v>-2344</v>
      </c>
      <c r="M103" s="29">
        <f>Table545[[#This Row],[Difference]]+M102</f>
        <v>19079.500000000007</v>
      </c>
      <c r="N103" s="146"/>
      <c r="O103" s="146" t="s">
        <v>29</v>
      </c>
      <c r="P103" s="146" t="s">
        <v>112</v>
      </c>
      <c r="Q103" s="149"/>
    </row>
    <row r="104" spans="2:17" x14ac:dyDescent="0.2">
      <c r="B104" s="199">
        <v>110</v>
      </c>
      <c r="C104" s="24" t="s">
        <v>34</v>
      </c>
      <c r="D104" s="15" t="s">
        <v>68</v>
      </c>
      <c r="E104" s="177">
        <v>42981</v>
      </c>
      <c r="F104" s="146"/>
      <c r="G104" s="146"/>
      <c r="H104" s="47">
        <v>0</v>
      </c>
      <c r="I104" s="178"/>
      <c r="J104" s="146"/>
      <c r="K104" s="146">
        <v>149</v>
      </c>
      <c r="L104" s="29">
        <f>Table545[[#This Row],[Credit]]-Table545[[#This Row],[Debit]]</f>
        <v>-149</v>
      </c>
      <c r="M104" s="29">
        <f>Table545[[#This Row],[Difference]]+M103</f>
        <v>18930.500000000007</v>
      </c>
      <c r="N104" s="146"/>
      <c r="O104" s="29" t="s">
        <v>29</v>
      </c>
      <c r="P104" s="29" t="s">
        <v>30</v>
      </c>
      <c r="Q104" s="149"/>
    </row>
    <row r="105" spans="2:17" x14ac:dyDescent="0.2">
      <c r="B105" s="199">
        <v>111</v>
      </c>
      <c r="C105" s="24" t="s">
        <v>34</v>
      </c>
      <c r="D105" s="148" t="s">
        <v>115</v>
      </c>
      <c r="E105" s="177">
        <v>42982</v>
      </c>
      <c r="F105" s="146"/>
      <c r="G105" s="146"/>
      <c r="H105" s="47">
        <v>0</v>
      </c>
      <c r="I105" s="178"/>
      <c r="J105" s="146"/>
      <c r="K105" s="146">
        <v>550</v>
      </c>
      <c r="L105" s="29">
        <f>Table545[[#This Row],[Credit]]-Table545[[#This Row],[Debit]]</f>
        <v>-550</v>
      </c>
      <c r="M105" s="29">
        <f>Table545[[#This Row],[Difference]]+M104</f>
        <v>18380.500000000007</v>
      </c>
      <c r="N105" s="146"/>
      <c r="O105" s="29" t="s">
        <v>29</v>
      </c>
      <c r="P105" s="146" t="s">
        <v>30</v>
      </c>
      <c r="Q105" s="149"/>
    </row>
    <row r="106" spans="2:17" x14ac:dyDescent="0.2">
      <c r="B106" s="199">
        <v>137</v>
      </c>
      <c r="C106" s="24" t="s">
        <v>34</v>
      </c>
      <c r="D106" s="15" t="s">
        <v>115</v>
      </c>
      <c r="E106" s="177">
        <v>42982</v>
      </c>
      <c r="F106" s="146"/>
      <c r="G106" s="146"/>
      <c r="H106" s="47">
        <v>0</v>
      </c>
      <c r="I106" s="178"/>
      <c r="J106" s="29"/>
      <c r="K106" s="146">
        <v>210</v>
      </c>
      <c r="L106" s="29">
        <f>Table545[[#This Row],[Credit]]-Table545[[#This Row],[Debit]]</f>
        <v>-210</v>
      </c>
      <c r="M106" s="29">
        <f>Table545[[#This Row],[Difference]]+M105</f>
        <v>18170.500000000007</v>
      </c>
      <c r="N106" s="146"/>
      <c r="O106" s="29" t="s">
        <v>29</v>
      </c>
      <c r="P106" s="29" t="s">
        <v>30</v>
      </c>
      <c r="Q106" s="149"/>
    </row>
    <row r="107" spans="2:17" x14ac:dyDescent="0.2">
      <c r="B107" s="199">
        <v>112</v>
      </c>
      <c r="C107" s="24" t="s">
        <v>34</v>
      </c>
      <c r="D107" s="15" t="s">
        <v>152</v>
      </c>
      <c r="E107" s="177">
        <v>42983</v>
      </c>
      <c r="F107" s="146"/>
      <c r="G107" s="146"/>
      <c r="H107" s="47">
        <v>0</v>
      </c>
      <c r="I107" s="178"/>
      <c r="J107" s="146"/>
      <c r="K107" s="146">
        <v>4000</v>
      </c>
      <c r="L107" s="29">
        <f>Table545[[#This Row],[Credit]]-Table545[[#This Row],[Debit]]</f>
        <v>-4000</v>
      </c>
      <c r="M107" s="29">
        <f>Table545[[#This Row],[Difference]]+M106</f>
        <v>14170.500000000007</v>
      </c>
      <c r="N107" s="146"/>
      <c r="O107" s="29" t="s">
        <v>29</v>
      </c>
      <c r="P107" s="146" t="s">
        <v>38</v>
      </c>
      <c r="Q107" s="149"/>
    </row>
    <row r="108" spans="2:17" x14ac:dyDescent="0.2">
      <c r="B108" s="197">
        <v>113</v>
      </c>
      <c r="C108" s="24" t="s">
        <v>34</v>
      </c>
      <c r="D108" s="15" t="s">
        <v>117</v>
      </c>
      <c r="E108" s="177">
        <v>42983</v>
      </c>
      <c r="F108" s="29"/>
      <c r="G108" s="29"/>
      <c r="H108" s="47">
        <v>0</v>
      </c>
      <c r="I108" s="47"/>
      <c r="J108" s="29"/>
      <c r="K108" s="29">
        <v>29.5</v>
      </c>
      <c r="L108" s="29">
        <f>Table545[[#This Row],[Credit]]-Table545[[#This Row],[Debit]]</f>
        <v>-29.5</v>
      </c>
      <c r="M108" s="29">
        <f>Table545[[#This Row],[Difference]]+M107</f>
        <v>14141.000000000007</v>
      </c>
      <c r="N108" s="29"/>
      <c r="O108" s="29" t="s">
        <v>81</v>
      </c>
      <c r="P108" s="29" t="s">
        <v>82</v>
      </c>
      <c r="Q108" s="149"/>
    </row>
    <row r="109" spans="2:17" x14ac:dyDescent="0.2">
      <c r="B109" s="197">
        <v>115</v>
      </c>
      <c r="C109" s="24" t="s">
        <v>34</v>
      </c>
      <c r="D109" s="15" t="s">
        <v>153</v>
      </c>
      <c r="E109" s="46">
        <v>42984</v>
      </c>
      <c r="F109" s="29"/>
      <c r="G109" s="29"/>
      <c r="H109" s="47">
        <v>0</v>
      </c>
      <c r="I109" s="47"/>
      <c r="J109" s="29"/>
      <c r="K109" s="29">
        <v>5301</v>
      </c>
      <c r="L109" s="29">
        <f>Table545[[#This Row],[Credit]]-Table545[[#This Row],[Debit]]</f>
        <v>-5301</v>
      </c>
      <c r="M109" s="29">
        <f>Table545[[#This Row],[Difference]]+M108</f>
        <v>8840.0000000000073</v>
      </c>
      <c r="N109" s="29"/>
      <c r="O109" s="29" t="s">
        <v>29</v>
      </c>
      <c r="P109" s="29" t="s">
        <v>79</v>
      </c>
      <c r="Q109" s="149"/>
    </row>
    <row r="110" spans="2:17" x14ac:dyDescent="0.2">
      <c r="B110" s="199">
        <v>116</v>
      </c>
      <c r="C110" s="24" t="s">
        <v>34</v>
      </c>
      <c r="D110" s="15" t="s">
        <v>154</v>
      </c>
      <c r="E110" s="46">
        <v>42984</v>
      </c>
      <c r="F110" s="146"/>
      <c r="G110" s="146"/>
      <c r="H110" s="47">
        <v>0</v>
      </c>
      <c r="I110" s="178"/>
      <c r="J110" s="146"/>
      <c r="K110" s="146">
        <v>2964</v>
      </c>
      <c r="L110" s="29">
        <f>Table545[[#This Row],[Credit]]-Table545[[#This Row],[Debit]]</f>
        <v>-2964</v>
      </c>
      <c r="M110" s="29">
        <f>Table545[[#This Row],[Difference]]+M109</f>
        <v>5876.0000000000073</v>
      </c>
      <c r="N110" s="146"/>
      <c r="O110" s="29" t="s">
        <v>29</v>
      </c>
      <c r="P110" s="29" t="s">
        <v>79</v>
      </c>
      <c r="Q110" s="149"/>
    </row>
    <row r="111" spans="2:17" x14ac:dyDescent="0.2">
      <c r="B111" s="197">
        <v>117</v>
      </c>
      <c r="C111" s="24" t="s">
        <v>34</v>
      </c>
      <c r="D111" s="15" t="s">
        <v>155</v>
      </c>
      <c r="E111" s="46">
        <v>42986</v>
      </c>
      <c r="F111" s="29"/>
      <c r="G111" s="29"/>
      <c r="H111" s="47">
        <v>0</v>
      </c>
      <c r="I111" s="47"/>
      <c r="J111" s="47">
        <v>740</v>
      </c>
      <c r="K111" s="47"/>
      <c r="L111" s="29">
        <f>Table545[[#This Row],[Credit]]-Table545[[#This Row],[Debit]]</f>
        <v>740</v>
      </c>
      <c r="M111" s="29">
        <f>Table545[[#This Row],[Difference]]+M110</f>
        <v>6616.0000000000073</v>
      </c>
      <c r="N111" s="47"/>
      <c r="O111" s="47" t="s">
        <v>156</v>
      </c>
      <c r="P111" s="29" t="s">
        <v>112</v>
      </c>
      <c r="Q111" s="149"/>
    </row>
    <row r="112" spans="2:17" x14ac:dyDescent="0.2">
      <c r="B112" s="197">
        <v>118</v>
      </c>
      <c r="C112" s="24" t="s">
        <v>34</v>
      </c>
      <c r="D112" s="148" t="s">
        <v>157</v>
      </c>
      <c r="E112" s="177">
        <v>42986</v>
      </c>
      <c r="F112" s="146"/>
      <c r="G112" s="146"/>
      <c r="H112" s="47">
        <v>0</v>
      </c>
      <c r="I112" s="178"/>
      <c r="J112" s="146">
        <v>740</v>
      </c>
      <c r="K112" s="146"/>
      <c r="L112" s="29">
        <f>Table545[[#This Row],[Credit]]-Table545[[#This Row],[Debit]]</f>
        <v>740</v>
      </c>
      <c r="M112" s="29">
        <f>Table545[[#This Row],[Difference]]+M111</f>
        <v>7356.0000000000073</v>
      </c>
      <c r="N112" s="146"/>
      <c r="O112" s="29" t="s">
        <v>156</v>
      </c>
      <c r="P112" s="29" t="s">
        <v>112</v>
      </c>
      <c r="Q112" s="149"/>
    </row>
    <row r="113" spans="2:17" x14ac:dyDescent="0.2">
      <c r="B113" s="197">
        <v>136</v>
      </c>
      <c r="C113" s="24" t="s">
        <v>34</v>
      </c>
      <c r="D113" s="15" t="s">
        <v>152</v>
      </c>
      <c r="E113" s="177">
        <v>42987</v>
      </c>
      <c r="F113" s="146"/>
      <c r="G113" s="146"/>
      <c r="H113" s="47">
        <v>0</v>
      </c>
      <c r="I113" s="178"/>
      <c r="J113" s="146"/>
      <c r="K113" s="146">
        <v>525</v>
      </c>
      <c r="L113" s="29">
        <f>Table545[[#This Row],[Credit]]-Table545[[#This Row],[Debit]]</f>
        <v>-525</v>
      </c>
      <c r="M113" s="29">
        <f>Table545[[#This Row],[Difference]]+M112</f>
        <v>6831.0000000000073</v>
      </c>
      <c r="N113" s="146"/>
      <c r="O113" s="29" t="s">
        <v>29</v>
      </c>
      <c r="P113" s="29" t="s">
        <v>38</v>
      </c>
      <c r="Q113" s="149"/>
    </row>
    <row r="114" spans="2:17" x14ac:dyDescent="0.2">
      <c r="B114" s="197">
        <v>119</v>
      </c>
      <c r="C114" s="24" t="s">
        <v>34</v>
      </c>
      <c r="D114" s="15" t="s">
        <v>158</v>
      </c>
      <c r="E114" s="177">
        <v>42989</v>
      </c>
      <c r="F114" s="146"/>
      <c r="G114" s="146"/>
      <c r="H114" s="47">
        <v>0</v>
      </c>
      <c r="I114" s="178"/>
      <c r="J114" s="146"/>
      <c r="K114" s="146">
        <v>210</v>
      </c>
      <c r="L114" s="29">
        <f>Table545[[#This Row],[Credit]]-Table545[[#This Row],[Debit]]</f>
        <v>-210</v>
      </c>
      <c r="M114" s="29">
        <f>Table545[[#This Row],[Difference]]+M113</f>
        <v>6621.0000000000073</v>
      </c>
      <c r="N114" s="146"/>
      <c r="O114" s="29" t="s">
        <v>29</v>
      </c>
      <c r="P114" s="29" t="s">
        <v>30</v>
      </c>
      <c r="Q114" s="149"/>
    </row>
    <row r="115" spans="2:17" x14ac:dyDescent="0.2">
      <c r="B115" s="197">
        <v>120</v>
      </c>
      <c r="C115" s="24" t="s">
        <v>34</v>
      </c>
      <c r="D115" s="15" t="s">
        <v>159</v>
      </c>
      <c r="E115" s="177">
        <v>42989</v>
      </c>
      <c r="F115" s="146"/>
      <c r="G115" s="146"/>
      <c r="H115" s="47">
        <v>0</v>
      </c>
      <c r="I115" s="178"/>
      <c r="J115" s="146"/>
      <c r="K115" s="146">
        <v>3325.29</v>
      </c>
      <c r="L115" s="29">
        <f>Table545[[#This Row],[Credit]]-Table545[[#This Row],[Debit]]</f>
        <v>-3325.29</v>
      </c>
      <c r="M115" s="29">
        <f>Table545[[#This Row],[Difference]]+M114</f>
        <v>3295.7100000000073</v>
      </c>
      <c r="N115" s="146"/>
      <c r="O115" s="29" t="s">
        <v>29</v>
      </c>
      <c r="P115" s="29" t="s">
        <v>79</v>
      </c>
      <c r="Q115" s="149"/>
    </row>
    <row r="116" spans="2:17" x14ac:dyDescent="0.2">
      <c r="B116" s="197">
        <v>121</v>
      </c>
      <c r="C116" s="24" t="s">
        <v>34</v>
      </c>
      <c r="D116" s="15" t="s">
        <v>317</v>
      </c>
      <c r="E116" s="177">
        <v>42992</v>
      </c>
      <c r="F116" s="146"/>
      <c r="G116" s="146"/>
      <c r="H116" s="47">
        <v>0</v>
      </c>
      <c r="I116" s="178"/>
      <c r="J116" s="152">
        <v>71010</v>
      </c>
      <c r="K116" s="146"/>
      <c r="L116" s="29">
        <f>Table545[[#This Row],[Credit]]-Table545[[#This Row],[Debit]]</f>
        <v>71010</v>
      </c>
      <c r="M116" s="29">
        <f>Table545[[#This Row],[Difference]]+M115</f>
        <v>74305.710000000006</v>
      </c>
      <c r="N116" s="146"/>
      <c r="O116" s="29" t="s">
        <v>25</v>
      </c>
      <c r="P116" s="29" t="s">
        <v>48</v>
      </c>
      <c r="Q116" s="149"/>
    </row>
    <row r="117" spans="2:17" x14ac:dyDescent="0.2">
      <c r="B117" s="197">
        <v>122</v>
      </c>
      <c r="C117" s="24" t="s">
        <v>34</v>
      </c>
      <c r="D117" s="15" t="s">
        <v>266</v>
      </c>
      <c r="E117" s="177">
        <v>42993</v>
      </c>
      <c r="F117" s="146"/>
      <c r="G117" s="146"/>
      <c r="H117" s="47">
        <v>0</v>
      </c>
      <c r="I117" s="178"/>
      <c r="J117" s="146"/>
      <c r="K117" s="146">
        <v>2360</v>
      </c>
      <c r="L117" s="29">
        <f>Table545[[#This Row],[Credit]]-Table545[[#This Row],[Debit]]</f>
        <v>-2360</v>
      </c>
      <c r="M117" s="29">
        <f>Table545[[#This Row],[Difference]]+M116</f>
        <v>71945.710000000006</v>
      </c>
      <c r="N117" s="146"/>
      <c r="O117" s="29" t="s">
        <v>29</v>
      </c>
      <c r="P117" s="29" t="s">
        <v>44</v>
      </c>
      <c r="Q117" s="149"/>
    </row>
    <row r="118" spans="2:17" x14ac:dyDescent="0.2">
      <c r="B118" s="197">
        <v>124</v>
      </c>
      <c r="C118" s="24" t="s">
        <v>34</v>
      </c>
      <c r="D118" s="15" t="s">
        <v>117</v>
      </c>
      <c r="E118" s="177">
        <v>42993</v>
      </c>
      <c r="F118" s="29"/>
      <c r="G118" s="29"/>
      <c r="H118" s="47">
        <v>0</v>
      </c>
      <c r="I118" s="47"/>
      <c r="J118" s="29"/>
      <c r="K118" s="29">
        <v>29.5</v>
      </c>
      <c r="L118" s="29">
        <f>Table545[[#This Row],[Credit]]-Table545[[#This Row],[Debit]]</f>
        <v>-29.5</v>
      </c>
      <c r="M118" s="29">
        <f>Table545[[#This Row],[Difference]]+M117</f>
        <v>71916.210000000006</v>
      </c>
      <c r="N118" s="146"/>
      <c r="O118" s="29" t="s">
        <v>81</v>
      </c>
      <c r="P118" s="146" t="s">
        <v>82</v>
      </c>
      <c r="Q118" s="149"/>
    </row>
    <row r="119" spans="2:17" x14ac:dyDescent="0.2">
      <c r="B119" s="197">
        <v>125</v>
      </c>
      <c r="C119" s="24" t="s">
        <v>34</v>
      </c>
      <c r="D119" s="179" t="s">
        <v>267</v>
      </c>
      <c r="E119" s="177">
        <v>43004</v>
      </c>
      <c r="F119" s="146"/>
      <c r="G119" s="146"/>
      <c r="H119" s="47">
        <v>0</v>
      </c>
      <c r="I119" s="178"/>
      <c r="J119" s="146"/>
      <c r="K119" s="146">
        <v>7771.53</v>
      </c>
      <c r="L119" s="29">
        <f>Table545[[#This Row],[Credit]]-Table545[[#This Row],[Debit]]</f>
        <v>-7771.53</v>
      </c>
      <c r="M119" s="29">
        <f>Table545[[#This Row],[Difference]]+M118</f>
        <v>64144.680000000008</v>
      </c>
      <c r="N119" s="146"/>
      <c r="O119" s="29" t="s">
        <v>29</v>
      </c>
      <c r="P119" s="146" t="s">
        <v>71</v>
      </c>
      <c r="Q119" s="149"/>
    </row>
    <row r="120" spans="2:17" x14ac:dyDescent="0.2">
      <c r="B120" s="197">
        <v>126</v>
      </c>
      <c r="C120" s="24" t="s">
        <v>34</v>
      </c>
      <c r="D120" s="15" t="s">
        <v>268</v>
      </c>
      <c r="E120" s="177">
        <v>43007</v>
      </c>
      <c r="F120" s="146"/>
      <c r="G120" s="146"/>
      <c r="H120" s="47">
        <v>0</v>
      </c>
      <c r="I120" s="178"/>
      <c r="J120" s="146"/>
      <c r="K120" s="146">
        <v>196</v>
      </c>
      <c r="L120" s="29">
        <f>Table545[[#This Row],[Credit]]-Table545[[#This Row],[Debit]]</f>
        <v>-196</v>
      </c>
      <c r="M120" s="29">
        <f>Table545[[#This Row],[Difference]]+M119</f>
        <v>63948.680000000008</v>
      </c>
      <c r="N120" s="146"/>
      <c r="O120" s="29" t="s">
        <v>81</v>
      </c>
      <c r="P120" s="146" t="s">
        <v>30</v>
      </c>
      <c r="Q120" s="149"/>
    </row>
    <row r="121" spans="2:17" x14ac:dyDescent="0.2">
      <c r="B121" s="197">
        <v>127</v>
      </c>
      <c r="C121" s="24" t="s">
        <v>34</v>
      </c>
      <c r="D121" s="148" t="s">
        <v>269</v>
      </c>
      <c r="E121" s="177">
        <v>43007</v>
      </c>
      <c r="F121" s="146"/>
      <c r="G121" s="146"/>
      <c r="H121" s="47">
        <v>0</v>
      </c>
      <c r="I121" s="178"/>
      <c r="J121" s="180"/>
      <c r="K121" s="146">
        <v>192</v>
      </c>
      <c r="L121" s="29">
        <f>Table545[[#This Row],[Credit]]-Table545[[#This Row],[Debit]]</f>
        <v>-192</v>
      </c>
      <c r="M121" s="29">
        <f>Table545[[#This Row],[Difference]]+M120</f>
        <v>63756.680000000008</v>
      </c>
      <c r="N121" s="146"/>
      <c r="O121" s="180" t="s">
        <v>81</v>
      </c>
      <c r="P121" s="148" t="s">
        <v>30</v>
      </c>
      <c r="Q121" s="149"/>
    </row>
    <row r="122" spans="2:17" x14ac:dyDescent="0.2">
      <c r="B122" s="197">
        <v>128</v>
      </c>
      <c r="C122" s="24" t="s">
        <v>34</v>
      </c>
      <c r="D122" s="148" t="s">
        <v>270</v>
      </c>
      <c r="E122" s="177">
        <v>43007</v>
      </c>
      <c r="F122" s="146"/>
      <c r="G122" s="146"/>
      <c r="H122" s="47">
        <v>0</v>
      </c>
      <c r="I122" s="178"/>
      <c r="J122" s="146">
        <v>115</v>
      </c>
      <c r="K122" s="146"/>
      <c r="L122" s="29">
        <f>Table545[[#This Row],[Credit]]-Table545[[#This Row],[Debit]]</f>
        <v>115</v>
      </c>
      <c r="M122" s="29">
        <f>Table545[[#This Row],[Difference]]+M121</f>
        <v>63871.680000000008</v>
      </c>
      <c r="N122" s="146"/>
      <c r="O122" s="146" t="s">
        <v>81</v>
      </c>
      <c r="P122" s="148" t="s">
        <v>82</v>
      </c>
      <c r="Q122" s="149" t="s">
        <v>271</v>
      </c>
    </row>
    <row r="123" spans="2:17" x14ac:dyDescent="0.2">
      <c r="B123" s="197">
        <v>138</v>
      </c>
      <c r="C123" s="24" t="s">
        <v>34</v>
      </c>
      <c r="D123" s="148" t="s">
        <v>278</v>
      </c>
      <c r="E123" s="177">
        <v>43007</v>
      </c>
      <c r="F123" s="146"/>
      <c r="G123" s="146"/>
      <c r="H123" s="47">
        <v>0</v>
      </c>
      <c r="I123" s="178"/>
      <c r="J123" s="146"/>
      <c r="K123" s="146">
        <v>220</v>
      </c>
      <c r="L123" s="29">
        <f>Table545[[#This Row],[Credit]]-Table545[[#This Row],[Debit]]</f>
        <v>-220</v>
      </c>
      <c r="M123" s="29">
        <f>Table545[[#This Row],[Difference]]+M122</f>
        <v>63651.680000000008</v>
      </c>
      <c r="N123" s="146"/>
      <c r="O123" s="146" t="s">
        <v>29</v>
      </c>
      <c r="P123" s="148" t="s">
        <v>30</v>
      </c>
      <c r="Q123" s="149"/>
    </row>
    <row r="124" spans="2:17" x14ac:dyDescent="0.2">
      <c r="B124" s="197">
        <v>129</v>
      </c>
      <c r="C124" s="24" t="s">
        <v>34</v>
      </c>
      <c r="D124" s="148" t="s">
        <v>272</v>
      </c>
      <c r="E124" s="177">
        <v>43011</v>
      </c>
      <c r="F124" s="146"/>
      <c r="G124" s="146"/>
      <c r="H124" s="47">
        <v>0</v>
      </c>
      <c r="I124" s="178"/>
      <c r="J124" s="146"/>
      <c r="K124" s="146">
        <v>17600</v>
      </c>
      <c r="L124" s="29">
        <f>Table545[[#This Row],[Credit]]-Table545[[#This Row],[Debit]]</f>
        <v>-17600</v>
      </c>
      <c r="M124" s="29">
        <f>Table545[[#This Row],[Difference]]+M123</f>
        <v>46051.680000000008</v>
      </c>
      <c r="N124" s="146"/>
      <c r="O124" s="146" t="s">
        <v>29</v>
      </c>
      <c r="P124" s="148" t="s">
        <v>86</v>
      </c>
      <c r="Q124" s="149"/>
    </row>
    <row r="125" spans="2:17" x14ac:dyDescent="0.2">
      <c r="B125" s="197">
        <v>130</v>
      </c>
      <c r="C125" s="24" t="s">
        <v>34</v>
      </c>
      <c r="D125" s="148" t="s">
        <v>273</v>
      </c>
      <c r="E125" s="177">
        <v>43011</v>
      </c>
      <c r="F125" s="146"/>
      <c r="G125" s="146"/>
      <c r="H125" s="178">
        <v>0</v>
      </c>
      <c r="I125" s="178"/>
      <c r="J125" s="146"/>
      <c r="K125" s="146">
        <v>10000</v>
      </c>
      <c r="L125" s="29">
        <f>Table545[[#This Row],[Credit]]-Table545[[#This Row],[Debit]]</f>
        <v>-10000</v>
      </c>
      <c r="M125" s="29">
        <f>Table545[[#This Row],[Difference]]+M124</f>
        <v>36051.680000000008</v>
      </c>
      <c r="N125" s="146"/>
      <c r="O125" s="146" t="s">
        <v>29</v>
      </c>
      <c r="P125" s="148" t="s">
        <v>86</v>
      </c>
      <c r="Q125" s="149"/>
    </row>
    <row r="126" spans="2:17" x14ac:dyDescent="0.2">
      <c r="B126" s="197">
        <v>131</v>
      </c>
      <c r="C126" s="24" t="s">
        <v>34</v>
      </c>
      <c r="D126" s="148" t="s">
        <v>274</v>
      </c>
      <c r="E126" s="177">
        <v>43011</v>
      </c>
      <c r="F126" s="146"/>
      <c r="G126" s="146"/>
      <c r="H126" s="178">
        <v>0</v>
      </c>
      <c r="I126" s="178"/>
      <c r="J126" s="146"/>
      <c r="K126" s="146">
        <v>6400</v>
      </c>
      <c r="L126" s="29">
        <f>Table545[[#This Row],[Credit]]-Table545[[#This Row],[Debit]]</f>
        <v>-6400</v>
      </c>
      <c r="M126" s="29">
        <f>Table545[[#This Row],[Difference]]+M125</f>
        <v>29651.680000000008</v>
      </c>
      <c r="N126" s="146"/>
      <c r="O126" s="146" t="s">
        <v>29</v>
      </c>
      <c r="P126" s="148" t="s">
        <v>86</v>
      </c>
      <c r="Q126" s="149"/>
    </row>
    <row r="127" spans="2:17" x14ac:dyDescent="0.2">
      <c r="B127" s="197">
        <v>132</v>
      </c>
      <c r="C127" s="24" t="s">
        <v>34</v>
      </c>
      <c r="D127" s="148" t="s">
        <v>275</v>
      </c>
      <c r="E127" s="177">
        <v>43011</v>
      </c>
      <c r="F127" s="146"/>
      <c r="G127" s="146"/>
      <c r="H127" s="178">
        <v>0</v>
      </c>
      <c r="I127" s="178"/>
      <c r="J127" s="146"/>
      <c r="K127" s="146">
        <v>2467</v>
      </c>
      <c r="L127" s="29">
        <f>Table545[[#This Row],[Credit]]-Table545[[#This Row],[Debit]]</f>
        <v>-2467</v>
      </c>
      <c r="M127" s="29">
        <f>Table545[[#This Row],[Difference]]+M126</f>
        <v>27184.680000000008</v>
      </c>
      <c r="N127" s="146"/>
      <c r="O127" s="146" t="s">
        <v>29</v>
      </c>
      <c r="P127" s="148" t="s">
        <v>86</v>
      </c>
      <c r="Q127" s="149"/>
    </row>
    <row r="128" spans="2:17" x14ac:dyDescent="0.2">
      <c r="B128" s="197">
        <v>133</v>
      </c>
      <c r="C128" s="24" t="s">
        <v>34</v>
      </c>
      <c r="D128" s="148" t="s">
        <v>276</v>
      </c>
      <c r="E128" s="177">
        <v>43011</v>
      </c>
      <c r="F128" s="146"/>
      <c r="G128" s="146"/>
      <c r="H128" s="178">
        <v>0</v>
      </c>
      <c r="I128" s="178"/>
      <c r="J128" s="146"/>
      <c r="K128" s="146">
        <v>9725</v>
      </c>
      <c r="L128" s="29">
        <f>Table545[[#This Row],[Credit]]-Table545[[#This Row],[Debit]]</f>
        <v>-9725</v>
      </c>
      <c r="M128" s="29">
        <f>Table545[[#This Row],[Difference]]+M127</f>
        <v>17459.680000000008</v>
      </c>
      <c r="N128" s="146"/>
      <c r="O128" s="146" t="s">
        <v>29</v>
      </c>
      <c r="P128" s="148" t="s">
        <v>86</v>
      </c>
      <c r="Q128" s="149"/>
    </row>
    <row r="129" spans="2:17" x14ac:dyDescent="0.2">
      <c r="B129" s="197">
        <v>134</v>
      </c>
      <c r="C129" s="24" t="s">
        <v>34</v>
      </c>
      <c r="D129" s="148" t="s">
        <v>277</v>
      </c>
      <c r="E129" s="177">
        <v>43011</v>
      </c>
      <c r="F129" s="146"/>
      <c r="G129" s="146"/>
      <c r="H129" s="178">
        <v>0</v>
      </c>
      <c r="I129" s="178"/>
      <c r="J129" s="146"/>
      <c r="K129" s="146">
        <v>1200</v>
      </c>
      <c r="L129" s="29">
        <f>Table545[[#This Row],[Credit]]-Table545[[#This Row],[Debit]]</f>
        <v>-1200</v>
      </c>
      <c r="M129" s="29">
        <f>Table545[[#This Row],[Difference]]+M128</f>
        <v>16259.680000000008</v>
      </c>
      <c r="N129" s="146"/>
      <c r="O129" s="146" t="s">
        <v>29</v>
      </c>
      <c r="P129" s="148" t="s">
        <v>86</v>
      </c>
      <c r="Q129" s="149"/>
    </row>
    <row r="130" spans="2:17" x14ac:dyDescent="0.2">
      <c r="B130" s="199">
        <v>135</v>
      </c>
      <c r="C130" s="24" t="s">
        <v>34</v>
      </c>
      <c r="D130" s="148" t="s">
        <v>111</v>
      </c>
      <c r="E130" s="177">
        <v>43011</v>
      </c>
      <c r="F130" s="146"/>
      <c r="G130" s="146"/>
      <c r="H130" s="178">
        <v>0</v>
      </c>
      <c r="I130" s="178"/>
      <c r="J130" s="146"/>
      <c r="K130" s="146">
        <v>3698</v>
      </c>
      <c r="L130" s="29">
        <f>Table545[[#This Row],[Credit]]-Table545[[#This Row],[Debit]]</f>
        <v>-3698</v>
      </c>
      <c r="M130" s="29">
        <f>Table545[[#This Row],[Difference]]+M129</f>
        <v>12561.680000000008</v>
      </c>
      <c r="N130" s="146"/>
      <c r="O130" s="146" t="s">
        <v>29</v>
      </c>
      <c r="P130" s="148" t="s">
        <v>112</v>
      </c>
      <c r="Q130" s="149"/>
    </row>
    <row r="131" spans="2:17" x14ac:dyDescent="0.2">
      <c r="B131" s="199">
        <v>136</v>
      </c>
      <c r="C131" s="24" t="s">
        <v>34</v>
      </c>
      <c r="D131" s="148" t="s">
        <v>279</v>
      </c>
      <c r="E131" s="177">
        <v>43012</v>
      </c>
      <c r="F131" s="146"/>
      <c r="G131" s="146"/>
      <c r="H131" s="178">
        <v>0</v>
      </c>
      <c r="I131" s="178"/>
      <c r="J131" s="146"/>
      <c r="K131" s="146">
        <v>1000</v>
      </c>
      <c r="L131" s="29">
        <f>Table545[[#This Row],[Credit]]-Table545[[#This Row],[Debit]]</f>
        <v>-1000</v>
      </c>
      <c r="M131" s="29">
        <f>Table545[[#This Row],[Difference]]+M130</f>
        <v>11561.680000000008</v>
      </c>
      <c r="N131" s="146"/>
      <c r="O131" s="146" t="s">
        <v>29</v>
      </c>
      <c r="P131" s="148" t="s">
        <v>30</v>
      </c>
      <c r="Q131" s="149"/>
    </row>
    <row r="132" spans="2:17" x14ac:dyDescent="0.2">
      <c r="B132" s="199">
        <v>137</v>
      </c>
      <c r="C132" s="24" t="s">
        <v>34</v>
      </c>
      <c r="D132" s="148" t="s">
        <v>280</v>
      </c>
      <c r="E132" s="177">
        <v>43020</v>
      </c>
      <c r="F132" s="146"/>
      <c r="G132" s="146"/>
      <c r="H132" s="178">
        <v>0</v>
      </c>
      <c r="I132" s="178"/>
      <c r="J132" s="146"/>
      <c r="K132" s="146">
        <v>2360</v>
      </c>
      <c r="L132" s="29">
        <f>Table545[[#This Row],[Credit]]-Table545[[#This Row],[Debit]]</f>
        <v>-2360</v>
      </c>
      <c r="M132" s="29">
        <f>Table545[[#This Row],[Difference]]+M131</f>
        <v>9201.6800000000076</v>
      </c>
      <c r="N132" s="146"/>
      <c r="O132" s="146" t="s">
        <v>29</v>
      </c>
      <c r="P132" s="148" t="s">
        <v>44</v>
      </c>
      <c r="Q132" s="149"/>
    </row>
    <row r="133" spans="2:17" x14ac:dyDescent="0.2">
      <c r="B133" s="199">
        <v>138</v>
      </c>
      <c r="C133" s="24" t="s">
        <v>34</v>
      </c>
      <c r="D133" s="148" t="s">
        <v>316</v>
      </c>
      <c r="E133" s="177">
        <v>43031</v>
      </c>
      <c r="F133" s="146"/>
      <c r="G133" s="146"/>
      <c r="H133" s="178">
        <v>0</v>
      </c>
      <c r="I133" s="178"/>
      <c r="J133" s="152">
        <v>151189</v>
      </c>
      <c r="K133" s="146"/>
      <c r="L133" s="29">
        <f>Table545[[#This Row],[Credit]]-Table545[[#This Row],[Debit]]</f>
        <v>151189</v>
      </c>
      <c r="M133" s="29">
        <f>Table545[[#This Row],[Difference]]+M132</f>
        <v>160390.68</v>
      </c>
      <c r="N133" s="146"/>
      <c r="O133" s="146" t="s">
        <v>25</v>
      </c>
      <c r="P133" s="29" t="s">
        <v>48</v>
      </c>
      <c r="Q133" s="149"/>
    </row>
    <row r="134" spans="2:17" x14ac:dyDescent="0.2">
      <c r="B134" s="199">
        <v>140</v>
      </c>
      <c r="C134" s="24" t="s">
        <v>34</v>
      </c>
      <c r="D134" s="148" t="s">
        <v>117</v>
      </c>
      <c r="E134" s="177">
        <v>43032</v>
      </c>
      <c r="F134" s="146"/>
      <c r="G134" s="146"/>
      <c r="H134" s="178">
        <v>0</v>
      </c>
      <c r="I134" s="178"/>
      <c r="J134" s="146"/>
      <c r="K134" s="146">
        <v>29.5</v>
      </c>
      <c r="L134" s="29">
        <f>Table545[[#This Row],[Credit]]-Table545[[#This Row],[Debit]]</f>
        <v>-29.5</v>
      </c>
      <c r="M134" s="29">
        <f>Table545[[#This Row],[Difference]]+M133</f>
        <v>160361.18</v>
      </c>
      <c r="N134" s="146"/>
      <c r="O134" s="146" t="s">
        <v>81</v>
      </c>
      <c r="P134" s="148" t="s">
        <v>82</v>
      </c>
      <c r="Q134" s="149"/>
    </row>
    <row r="135" spans="2:17" x14ac:dyDescent="0.2">
      <c r="B135" s="199">
        <v>141</v>
      </c>
      <c r="C135" s="24" t="s">
        <v>34</v>
      </c>
      <c r="D135" s="148" t="s">
        <v>141</v>
      </c>
      <c r="E135" s="177">
        <v>43034</v>
      </c>
      <c r="F135" s="146"/>
      <c r="G135" s="146"/>
      <c r="H135" s="178">
        <v>0</v>
      </c>
      <c r="I135" s="178"/>
      <c r="J135" s="146"/>
      <c r="K135" s="146">
        <v>28320</v>
      </c>
      <c r="L135" s="29">
        <f>Table545[[#This Row],[Credit]]-Table545[[#This Row],[Debit]]</f>
        <v>-28320</v>
      </c>
      <c r="M135" s="29">
        <f>Table545[[#This Row],[Difference]]+M134</f>
        <v>132041.18</v>
      </c>
      <c r="N135" s="146"/>
      <c r="O135" s="146" t="s">
        <v>29</v>
      </c>
      <c r="P135" s="148" t="s">
        <v>86</v>
      </c>
      <c r="Q135" s="149"/>
    </row>
    <row r="136" spans="2:17" x14ac:dyDescent="0.2">
      <c r="B136" s="199">
        <v>142</v>
      </c>
      <c r="C136" s="24" t="s">
        <v>34</v>
      </c>
      <c r="D136" s="148" t="s">
        <v>61</v>
      </c>
      <c r="E136" s="177">
        <v>43034</v>
      </c>
      <c r="F136" s="146"/>
      <c r="G136" s="146"/>
      <c r="H136" s="178">
        <v>0</v>
      </c>
      <c r="I136" s="178"/>
      <c r="J136" s="146"/>
      <c r="K136" s="146">
        <v>7424</v>
      </c>
      <c r="L136" s="29">
        <f>Table545[[#This Row],[Credit]]-Table545[[#This Row],[Debit]]</f>
        <v>-7424</v>
      </c>
      <c r="M136" s="29">
        <f>Table545[[#This Row],[Difference]]+M135</f>
        <v>124617.18</v>
      </c>
      <c r="N136" s="146"/>
      <c r="O136" s="146" t="s">
        <v>29</v>
      </c>
      <c r="P136" s="148" t="s">
        <v>26</v>
      </c>
      <c r="Q136" s="149"/>
    </row>
    <row r="137" spans="2:17" x14ac:dyDescent="0.2">
      <c r="B137" s="199">
        <v>143</v>
      </c>
      <c r="C137" s="24" t="s">
        <v>34</v>
      </c>
      <c r="D137" s="148" t="s">
        <v>281</v>
      </c>
      <c r="E137" s="177">
        <v>43035</v>
      </c>
      <c r="F137" s="146"/>
      <c r="G137" s="146"/>
      <c r="H137" s="178">
        <v>0</v>
      </c>
      <c r="I137" s="178"/>
      <c r="J137" s="146"/>
      <c r="K137" s="146">
        <v>14444</v>
      </c>
      <c r="L137" s="29">
        <f>Table545[[#This Row],[Credit]]-Table545[[#This Row],[Debit]]</f>
        <v>-14444</v>
      </c>
      <c r="M137" s="29">
        <f>Table545[[#This Row],[Difference]]+M136</f>
        <v>110173.18</v>
      </c>
      <c r="N137" s="146"/>
      <c r="O137" s="146" t="s">
        <v>29</v>
      </c>
      <c r="P137" s="148" t="s">
        <v>44</v>
      </c>
      <c r="Q137" s="149"/>
    </row>
    <row r="138" spans="2:17" x14ac:dyDescent="0.2">
      <c r="B138" s="199">
        <v>144</v>
      </c>
      <c r="C138" s="24" t="s">
        <v>34</v>
      </c>
      <c r="D138" s="148" t="s">
        <v>282</v>
      </c>
      <c r="E138" s="177">
        <v>43036</v>
      </c>
      <c r="F138" s="146"/>
      <c r="G138" s="146"/>
      <c r="H138" s="178">
        <v>0</v>
      </c>
      <c r="I138" s="178"/>
      <c r="J138" s="146"/>
      <c r="K138" s="146">
        <v>6023.6</v>
      </c>
      <c r="L138" s="29">
        <f>Table545[[#This Row],[Credit]]-Table545[[#This Row],[Debit]]</f>
        <v>-6023.6</v>
      </c>
      <c r="M138" s="29">
        <f>Table545[[#This Row],[Difference]]+M137</f>
        <v>104149.57999999999</v>
      </c>
      <c r="N138" s="146"/>
      <c r="O138" s="146" t="s">
        <v>29</v>
      </c>
      <c r="P138" s="148" t="s">
        <v>162</v>
      </c>
      <c r="Q138" s="149"/>
    </row>
    <row r="139" spans="2:17" x14ac:dyDescent="0.2">
      <c r="B139" s="199">
        <v>145</v>
      </c>
      <c r="C139" s="24" t="s">
        <v>34</v>
      </c>
      <c r="D139" s="148" t="s">
        <v>282</v>
      </c>
      <c r="E139" s="177">
        <v>43038</v>
      </c>
      <c r="F139" s="146"/>
      <c r="G139" s="146"/>
      <c r="H139" s="178">
        <v>0</v>
      </c>
      <c r="I139" s="178"/>
      <c r="J139" s="146"/>
      <c r="K139" s="146">
        <v>3023.6</v>
      </c>
      <c r="L139" s="29">
        <f>Table545[[#This Row],[Credit]]-Table545[[#This Row],[Debit]]</f>
        <v>-3023.6</v>
      </c>
      <c r="M139" s="29">
        <f>Table545[[#This Row],[Difference]]+M138</f>
        <v>101125.97999999998</v>
      </c>
      <c r="N139" s="146"/>
      <c r="O139" s="146" t="s">
        <v>29</v>
      </c>
      <c r="P139" s="148" t="s">
        <v>162</v>
      </c>
      <c r="Q139" s="149"/>
    </row>
    <row r="140" spans="2:17" x14ac:dyDescent="0.2">
      <c r="B140" s="199">
        <v>146</v>
      </c>
      <c r="C140" s="24" t="s">
        <v>34</v>
      </c>
      <c r="D140" s="148" t="s">
        <v>283</v>
      </c>
      <c r="E140" s="177">
        <v>43038</v>
      </c>
      <c r="F140" s="146"/>
      <c r="G140" s="146"/>
      <c r="H140" s="178">
        <v>0</v>
      </c>
      <c r="I140" s="178"/>
      <c r="J140" s="146"/>
      <c r="K140" s="146">
        <v>815</v>
      </c>
      <c r="L140" s="29">
        <f>Table545[[#This Row],[Credit]]-Table545[[#This Row],[Debit]]</f>
        <v>-815</v>
      </c>
      <c r="M140" s="29">
        <f>Table545[[#This Row],[Difference]]+M139</f>
        <v>100310.97999999998</v>
      </c>
      <c r="N140" s="146"/>
      <c r="O140" s="146" t="s">
        <v>29</v>
      </c>
      <c r="P140" s="148" t="s">
        <v>112</v>
      </c>
      <c r="Q140" s="149"/>
    </row>
    <row r="141" spans="2:17" x14ac:dyDescent="0.2">
      <c r="B141" s="199">
        <v>147</v>
      </c>
      <c r="C141" s="24" t="s">
        <v>34</v>
      </c>
      <c r="D141" s="148" t="s">
        <v>284</v>
      </c>
      <c r="E141" s="177">
        <v>43038</v>
      </c>
      <c r="F141" s="146"/>
      <c r="G141" s="146"/>
      <c r="H141" s="178">
        <v>0</v>
      </c>
      <c r="I141" s="178"/>
      <c r="J141" s="146"/>
      <c r="K141" s="146">
        <v>671</v>
      </c>
      <c r="L141" s="29">
        <f>Table545[[#This Row],[Credit]]-Table545[[#This Row],[Debit]]</f>
        <v>-671</v>
      </c>
      <c r="M141" s="29">
        <f>Table545[[#This Row],[Difference]]+M140</f>
        <v>99639.979999999981</v>
      </c>
      <c r="N141" s="146"/>
      <c r="O141" s="146" t="s">
        <v>29</v>
      </c>
      <c r="P141" s="148" t="s">
        <v>112</v>
      </c>
      <c r="Q141" s="149"/>
    </row>
    <row r="142" spans="2:17" x14ac:dyDescent="0.2">
      <c r="B142" s="199">
        <v>148</v>
      </c>
      <c r="C142" s="24" t="s">
        <v>34</v>
      </c>
      <c r="D142" s="148" t="s">
        <v>298</v>
      </c>
      <c r="E142" s="177">
        <v>43038</v>
      </c>
      <c r="F142" s="146"/>
      <c r="G142" s="146"/>
      <c r="H142" s="178">
        <v>0</v>
      </c>
      <c r="I142" s="178"/>
      <c r="J142" s="146">
        <v>954.5</v>
      </c>
      <c r="K142" s="146"/>
      <c r="L142" s="29">
        <f>Table545[[#This Row],[Credit]]-Table545[[#This Row],[Debit]]</f>
        <v>954.5</v>
      </c>
      <c r="M142" s="29">
        <f>Table545[[#This Row],[Difference]]+M141</f>
        <v>100594.47999999998</v>
      </c>
      <c r="N142" s="146"/>
      <c r="O142" s="146" t="s">
        <v>29</v>
      </c>
      <c r="P142" s="29" t="s">
        <v>299</v>
      </c>
      <c r="Q142" s="149"/>
    </row>
    <row r="143" spans="2:17" x14ac:dyDescent="0.2">
      <c r="B143" s="199">
        <v>149</v>
      </c>
      <c r="C143" s="24" t="s">
        <v>34</v>
      </c>
      <c r="D143" s="148" t="s">
        <v>302</v>
      </c>
      <c r="E143" s="177">
        <v>43040</v>
      </c>
      <c r="F143" s="146"/>
      <c r="G143" s="146"/>
      <c r="H143" s="178">
        <v>0</v>
      </c>
      <c r="I143" s="178"/>
      <c r="J143" s="146"/>
      <c r="K143" s="146">
        <v>17800</v>
      </c>
      <c r="L143" s="29">
        <f>Table545[[#This Row],[Credit]]-Table545[[#This Row],[Debit]]</f>
        <v>-17800</v>
      </c>
      <c r="M143" s="29">
        <f>Table545[[#This Row],[Difference]]+M142</f>
        <v>82794.479999999981</v>
      </c>
      <c r="N143" s="146"/>
      <c r="O143" s="146" t="s">
        <v>29</v>
      </c>
      <c r="P143" s="148" t="s">
        <v>86</v>
      </c>
      <c r="Q143" s="149"/>
    </row>
    <row r="144" spans="2:17" x14ac:dyDescent="0.2">
      <c r="B144" s="199">
        <v>150</v>
      </c>
      <c r="C144" s="142" t="s">
        <v>34</v>
      </c>
      <c r="D144" s="148" t="s">
        <v>303</v>
      </c>
      <c r="E144" s="177">
        <v>43041</v>
      </c>
      <c r="F144" s="146"/>
      <c r="G144" s="146"/>
      <c r="H144" s="178">
        <v>0</v>
      </c>
      <c r="I144" s="178"/>
      <c r="J144" s="146"/>
      <c r="K144" s="146">
        <v>9800</v>
      </c>
      <c r="L144" s="29">
        <f>Table545[[#This Row],[Credit]]-Table545[[#This Row],[Debit]]</f>
        <v>-9800</v>
      </c>
      <c r="M144" s="29">
        <f>Table545[[#This Row],[Difference]]+M143</f>
        <v>72994.479999999981</v>
      </c>
      <c r="N144" s="146"/>
      <c r="O144" s="146" t="s">
        <v>29</v>
      </c>
      <c r="P144" s="148" t="s">
        <v>86</v>
      </c>
      <c r="Q144" s="192"/>
    </row>
    <row r="145" spans="2:17" x14ac:dyDescent="0.2">
      <c r="B145" s="199">
        <v>151</v>
      </c>
      <c r="C145" s="142" t="s">
        <v>34</v>
      </c>
      <c r="D145" s="148" t="s">
        <v>304</v>
      </c>
      <c r="E145" s="177">
        <v>43042</v>
      </c>
      <c r="F145" s="146"/>
      <c r="G145" s="146"/>
      <c r="H145" s="178">
        <v>0</v>
      </c>
      <c r="I145" s="178"/>
      <c r="J145" s="146"/>
      <c r="K145" s="146">
        <v>1800</v>
      </c>
      <c r="L145" s="29">
        <f>Table545[[#This Row],[Credit]]-Table545[[#This Row],[Debit]]</f>
        <v>-1800</v>
      </c>
      <c r="M145" s="29">
        <f>Table545[[#This Row],[Difference]]+M144</f>
        <v>71194.479999999981</v>
      </c>
      <c r="N145" s="146"/>
      <c r="O145" s="146" t="s">
        <v>29</v>
      </c>
      <c r="P145" s="148" t="s">
        <v>86</v>
      </c>
      <c r="Q145" s="192"/>
    </row>
    <row r="146" spans="2:17" x14ac:dyDescent="0.2">
      <c r="B146" s="199">
        <v>152</v>
      </c>
      <c r="C146" s="142" t="s">
        <v>34</v>
      </c>
      <c r="D146" s="148" t="s">
        <v>395</v>
      </c>
      <c r="E146" s="177">
        <v>43042</v>
      </c>
      <c r="F146" s="146"/>
      <c r="G146" s="146"/>
      <c r="H146" s="178">
        <v>0</v>
      </c>
      <c r="I146" s="178"/>
      <c r="J146" s="146"/>
      <c r="K146" s="146">
        <v>2200</v>
      </c>
      <c r="L146" s="29">
        <f>Table545[[#This Row],[Credit]]-Table545[[#This Row],[Debit]]</f>
        <v>-2200</v>
      </c>
      <c r="M146" s="29">
        <f>Table545[[#This Row],[Difference]]+M145</f>
        <v>68994.479999999981</v>
      </c>
      <c r="N146" s="146"/>
      <c r="O146" s="146" t="s">
        <v>29</v>
      </c>
      <c r="P146" s="148" t="s">
        <v>71</v>
      </c>
      <c r="Q146" s="192" t="s">
        <v>342</v>
      </c>
    </row>
    <row r="147" spans="2:17" x14ac:dyDescent="0.2">
      <c r="B147" s="199">
        <v>153</v>
      </c>
      <c r="C147" s="142" t="s">
        <v>34</v>
      </c>
      <c r="D147" s="148" t="s">
        <v>305</v>
      </c>
      <c r="E147" s="177">
        <v>43043</v>
      </c>
      <c r="F147" s="146"/>
      <c r="G147" s="146"/>
      <c r="H147" s="178">
        <v>0</v>
      </c>
      <c r="I147" s="178"/>
      <c r="J147" s="146"/>
      <c r="K147" s="146">
        <v>10000</v>
      </c>
      <c r="L147" s="29">
        <f>Table545[[#This Row],[Credit]]-Table545[[#This Row],[Debit]]</f>
        <v>-10000</v>
      </c>
      <c r="M147" s="29">
        <f>Table545[[#This Row],[Difference]]+M146</f>
        <v>58994.479999999981</v>
      </c>
      <c r="N147" s="146"/>
      <c r="O147" s="146" t="s">
        <v>29</v>
      </c>
      <c r="P147" s="148" t="s">
        <v>86</v>
      </c>
      <c r="Q147" s="192"/>
    </row>
    <row r="148" spans="2:17" x14ac:dyDescent="0.2">
      <c r="B148" s="199">
        <v>154</v>
      </c>
      <c r="C148" s="142" t="s">
        <v>34</v>
      </c>
      <c r="D148" s="148" t="s">
        <v>301</v>
      </c>
      <c r="E148" s="177">
        <v>43044</v>
      </c>
      <c r="F148" s="146"/>
      <c r="G148" s="146"/>
      <c r="H148" s="178">
        <v>0</v>
      </c>
      <c r="I148" s="178"/>
      <c r="J148" s="146"/>
      <c r="K148" s="146">
        <v>17800</v>
      </c>
      <c r="L148" s="29">
        <f>Table545[[#This Row],[Credit]]-Table545[[#This Row],[Debit]]</f>
        <v>-17800</v>
      </c>
      <c r="M148" s="29">
        <f>Table545[[#This Row],[Difference]]+M147</f>
        <v>41194.479999999981</v>
      </c>
      <c r="N148" s="146"/>
      <c r="O148" s="146" t="s">
        <v>29</v>
      </c>
      <c r="P148" s="148" t="s">
        <v>86</v>
      </c>
      <c r="Q148" s="192"/>
    </row>
    <row r="149" spans="2:17" x14ac:dyDescent="0.2">
      <c r="B149" s="199">
        <v>155</v>
      </c>
      <c r="C149" s="142" t="s">
        <v>34</v>
      </c>
      <c r="D149" s="148" t="s">
        <v>306</v>
      </c>
      <c r="E149" s="177">
        <v>43045</v>
      </c>
      <c r="F149" s="146"/>
      <c r="G149" s="146"/>
      <c r="H149" s="178">
        <v>0</v>
      </c>
      <c r="I149" s="178"/>
      <c r="J149" s="146"/>
      <c r="K149" s="146">
        <v>19800</v>
      </c>
      <c r="L149" s="29">
        <f>Table545[[#This Row],[Credit]]-Table545[[#This Row],[Debit]]</f>
        <v>-19800</v>
      </c>
      <c r="M149" s="29">
        <f>Table545[[#This Row],[Difference]]+M148</f>
        <v>21394.479999999981</v>
      </c>
      <c r="N149" s="146"/>
      <c r="O149" s="146" t="s">
        <v>29</v>
      </c>
      <c r="P149" s="148" t="s">
        <v>86</v>
      </c>
      <c r="Q149" s="192"/>
    </row>
    <row r="150" spans="2:17" x14ac:dyDescent="0.2">
      <c r="B150" s="199">
        <v>156</v>
      </c>
      <c r="C150" s="142" t="s">
        <v>34</v>
      </c>
      <c r="D150" s="148" t="s">
        <v>315</v>
      </c>
      <c r="E150" s="177">
        <v>43045</v>
      </c>
      <c r="F150" s="146"/>
      <c r="G150" s="146"/>
      <c r="H150" s="178">
        <v>0</v>
      </c>
      <c r="I150" s="178"/>
      <c r="J150" s="152">
        <v>73983</v>
      </c>
      <c r="K150" s="146"/>
      <c r="L150" s="29">
        <f>Table545[[#This Row],[Credit]]-Table545[[#This Row],[Debit]]</f>
        <v>73983</v>
      </c>
      <c r="M150" s="29">
        <f>Table545[[#This Row],[Difference]]+M149</f>
        <v>95377.479999999981</v>
      </c>
      <c r="N150" s="146"/>
      <c r="O150" s="146" t="s">
        <v>25</v>
      </c>
      <c r="P150" s="29" t="s">
        <v>48</v>
      </c>
      <c r="Q150" s="192"/>
    </row>
    <row r="151" spans="2:17" x14ac:dyDescent="0.2">
      <c r="B151" s="199">
        <v>157</v>
      </c>
      <c r="C151" s="142" t="s">
        <v>34</v>
      </c>
      <c r="D151" s="148" t="s">
        <v>318</v>
      </c>
      <c r="E151" s="177">
        <v>43045</v>
      </c>
      <c r="F151" s="146"/>
      <c r="G151" s="146"/>
      <c r="H151" s="178">
        <v>0</v>
      </c>
      <c r="I151" s="178"/>
      <c r="J151" s="146"/>
      <c r="K151" s="146">
        <v>52</v>
      </c>
      <c r="L151" s="29">
        <f>Table545[[#This Row],[Credit]]-Table545[[#This Row],[Debit]]</f>
        <v>-52</v>
      </c>
      <c r="M151" s="29">
        <f>Table545[[#This Row],[Difference]]+M150</f>
        <v>95325.479999999981</v>
      </c>
      <c r="N151" s="146"/>
      <c r="O151" s="146" t="s">
        <v>29</v>
      </c>
      <c r="P151" s="148" t="s">
        <v>79</v>
      </c>
      <c r="Q151" s="192"/>
    </row>
    <row r="152" spans="2:17" x14ac:dyDescent="0.2">
      <c r="B152" s="199">
        <v>158</v>
      </c>
      <c r="C152" s="142" t="s">
        <v>34</v>
      </c>
      <c r="D152" s="148" t="s">
        <v>396</v>
      </c>
      <c r="E152" s="177">
        <v>43046</v>
      </c>
      <c r="F152" s="146"/>
      <c r="G152" s="146"/>
      <c r="H152" s="178">
        <v>0</v>
      </c>
      <c r="I152" s="178"/>
      <c r="J152" s="146"/>
      <c r="K152" s="146">
        <v>30000</v>
      </c>
      <c r="L152" s="29">
        <f>Table545[[#This Row],[Credit]]-Table545[[#This Row],[Debit]]</f>
        <v>-30000</v>
      </c>
      <c r="M152" s="29">
        <f>Table545[[#This Row],[Difference]]+M151</f>
        <v>65325.479999999981</v>
      </c>
      <c r="N152" s="146"/>
      <c r="O152" s="146" t="s">
        <v>29</v>
      </c>
      <c r="P152" s="148" t="s">
        <v>71</v>
      </c>
      <c r="Q152" s="192" t="s">
        <v>342</v>
      </c>
    </row>
    <row r="153" spans="2:17" x14ac:dyDescent="0.2">
      <c r="B153" s="199">
        <v>159</v>
      </c>
      <c r="C153" s="142" t="s">
        <v>34</v>
      </c>
      <c r="D153" s="148" t="s">
        <v>319</v>
      </c>
      <c r="E153" s="177">
        <v>43046</v>
      </c>
      <c r="F153" s="146"/>
      <c r="G153" s="146"/>
      <c r="H153" s="178">
        <v>0</v>
      </c>
      <c r="I153" s="178"/>
      <c r="J153" s="146"/>
      <c r="K153" s="146">
        <v>2964</v>
      </c>
      <c r="L153" s="29">
        <f>Table545[[#This Row],[Credit]]-Table545[[#This Row],[Debit]]</f>
        <v>-2964</v>
      </c>
      <c r="M153" s="29">
        <f>Table545[[#This Row],[Difference]]+M152</f>
        <v>62361.479999999981</v>
      </c>
      <c r="N153" s="146"/>
      <c r="O153" s="146" t="s">
        <v>29</v>
      </c>
      <c r="P153" s="148" t="s">
        <v>79</v>
      </c>
      <c r="Q153" s="192"/>
    </row>
    <row r="154" spans="2:17" x14ac:dyDescent="0.2">
      <c r="B154" s="199">
        <v>160</v>
      </c>
      <c r="C154" s="142" t="s">
        <v>34</v>
      </c>
      <c r="D154" s="148" t="s">
        <v>318</v>
      </c>
      <c r="E154" s="177">
        <v>43047</v>
      </c>
      <c r="F154" s="146"/>
      <c r="G154" s="146"/>
      <c r="H154" s="178"/>
      <c r="I154" s="178"/>
      <c r="J154" s="146"/>
      <c r="K154" s="146">
        <v>2500</v>
      </c>
      <c r="L154" s="29">
        <f>Table545[[#This Row],[Credit]]-Table545[[#This Row],[Debit]]</f>
        <v>-2500</v>
      </c>
      <c r="M154" s="29">
        <f>Table545[[#This Row],[Difference]]+M153</f>
        <v>59861.479999999981</v>
      </c>
      <c r="N154" s="146"/>
      <c r="O154" s="146" t="s">
        <v>29</v>
      </c>
      <c r="P154" s="148" t="s">
        <v>79</v>
      </c>
      <c r="Q154" s="192"/>
    </row>
    <row r="155" spans="2:17" x14ac:dyDescent="0.2">
      <c r="B155" s="199">
        <v>161</v>
      </c>
      <c r="C155" s="142" t="s">
        <v>34</v>
      </c>
      <c r="D155" s="148" t="s">
        <v>321</v>
      </c>
      <c r="E155" s="177">
        <v>43047</v>
      </c>
      <c r="F155" s="146"/>
      <c r="G155" s="146"/>
      <c r="H155" s="178">
        <v>0</v>
      </c>
      <c r="I155" s="178"/>
      <c r="J155" s="146"/>
      <c r="K155" s="146">
        <v>3523.6</v>
      </c>
      <c r="L155" s="29">
        <f>Table545[[#This Row],[Credit]]-Table545[[#This Row],[Debit]]</f>
        <v>-3523.6</v>
      </c>
      <c r="M155" s="29">
        <f>Table545[[#This Row],[Difference]]+M154</f>
        <v>56337.879999999983</v>
      </c>
      <c r="N155" s="146"/>
      <c r="O155" s="146" t="s">
        <v>29</v>
      </c>
      <c r="P155" s="148" t="s">
        <v>38</v>
      </c>
      <c r="Q155" s="192"/>
    </row>
    <row r="156" spans="2:17" x14ac:dyDescent="0.2">
      <c r="B156" s="199">
        <v>162</v>
      </c>
      <c r="C156" s="142" t="s">
        <v>34</v>
      </c>
      <c r="D156" s="148" t="s">
        <v>397</v>
      </c>
      <c r="E156" s="177">
        <v>43047</v>
      </c>
      <c r="F156" s="146"/>
      <c r="G156" s="146"/>
      <c r="H156" s="178">
        <v>0</v>
      </c>
      <c r="I156" s="178"/>
      <c r="J156" s="146"/>
      <c r="K156" s="146">
        <v>9650</v>
      </c>
      <c r="L156" s="29">
        <f>Table545[[#This Row],[Credit]]-Table545[[#This Row],[Debit]]</f>
        <v>-9650</v>
      </c>
      <c r="M156" s="29">
        <f>Table545[[#This Row],[Difference]]+M155</f>
        <v>46687.879999999983</v>
      </c>
      <c r="N156" s="146"/>
      <c r="O156" s="146" t="s">
        <v>29</v>
      </c>
      <c r="P156" s="148" t="s">
        <v>71</v>
      </c>
      <c r="Q156" s="192" t="s">
        <v>342</v>
      </c>
    </row>
    <row r="157" spans="2:17" x14ac:dyDescent="0.2">
      <c r="B157" s="199">
        <v>163</v>
      </c>
      <c r="C157" s="24" t="s">
        <v>34</v>
      </c>
      <c r="D157" s="53" t="s">
        <v>339</v>
      </c>
      <c r="E157" s="48">
        <v>43048</v>
      </c>
      <c r="F157" s="22"/>
      <c r="G157" s="22"/>
      <c r="H157" s="49">
        <v>0</v>
      </c>
      <c r="I157" s="49"/>
      <c r="J157" s="22"/>
      <c r="K157" s="22">
        <v>2109.84</v>
      </c>
      <c r="L157" s="29">
        <f>Table545[[#This Row],[Credit]]-Table545[[#This Row],[Debit]]</f>
        <v>-2109.84</v>
      </c>
      <c r="M157" s="29">
        <f>Table545[[#This Row],[Difference]]+M156</f>
        <v>44578.039999999979</v>
      </c>
      <c r="N157" s="22"/>
      <c r="O157" s="146" t="s">
        <v>29</v>
      </c>
      <c r="P157" s="51" t="s">
        <v>79</v>
      </c>
      <c r="Q157" s="22"/>
    </row>
    <row r="158" spans="2:17" x14ac:dyDescent="0.2">
      <c r="B158" s="199">
        <v>164</v>
      </c>
      <c r="C158" s="24" t="s">
        <v>34</v>
      </c>
      <c r="D158" s="53" t="s">
        <v>340</v>
      </c>
      <c r="E158" s="48">
        <v>43048</v>
      </c>
      <c r="F158" s="22"/>
      <c r="G158" s="22"/>
      <c r="H158" s="49">
        <v>0</v>
      </c>
      <c r="I158" s="49"/>
      <c r="J158" s="22"/>
      <c r="K158" s="22">
        <v>13799</v>
      </c>
      <c r="L158" s="29">
        <f>Table545[[#This Row],[Credit]]-Table545[[#This Row],[Debit]]</f>
        <v>-13799</v>
      </c>
      <c r="M158" s="29">
        <f>Table545[[#This Row],[Difference]]+M157</f>
        <v>30779.039999999979</v>
      </c>
      <c r="N158" s="22"/>
      <c r="O158" s="146" t="s">
        <v>29</v>
      </c>
      <c r="P158" s="51" t="s">
        <v>38</v>
      </c>
      <c r="Q158" s="22"/>
    </row>
    <row r="159" spans="2:17" x14ac:dyDescent="0.2">
      <c r="B159" s="199">
        <v>165</v>
      </c>
      <c r="C159" s="24" t="s">
        <v>34</v>
      </c>
      <c r="D159" s="148" t="s">
        <v>318</v>
      </c>
      <c r="E159" s="177">
        <v>43049</v>
      </c>
      <c r="F159" s="146"/>
      <c r="G159" s="146"/>
      <c r="H159" s="178"/>
      <c r="I159" s="178"/>
      <c r="J159" s="146"/>
      <c r="K159" s="146">
        <v>50</v>
      </c>
      <c r="L159" s="29">
        <f>Table545[[#This Row],[Credit]]-Table545[[#This Row],[Debit]]</f>
        <v>-50</v>
      </c>
      <c r="M159" s="29">
        <f>Table545[[#This Row],[Difference]]+M158</f>
        <v>30729.039999999979</v>
      </c>
      <c r="N159" s="146"/>
      <c r="O159" s="146" t="s">
        <v>29</v>
      </c>
      <c r="P159" s="148" t="s">
        <v>79</v>
      </c>
      <c r="Q159" s="149"/>
    </row>
    <row r="160" spans="2:17" x14ac:dyDescent="0.2">
      <c r="B160" s="199">
        <v>166</v>
      </c>
      <c r="C160" s="24" t="s">
        <v>34</v>
      </c>
      <c r="D160" s="53" t="s">
        <v>316</v>
      </c>
      <c r="E160" s="48">
        <v>43049</v>
      </c>
      <c r="F160" s="22"/>
      <c r="G160" s="22"/>
      <c r="H160" s="49">
        <v>0</v>
      </c>
      <c r="I160" s="49"/>
      <c r="J160" s="152">
        <v>110568</v>
      </c>
      <c r="K160" s="22"/>
      <c r="L160" s="29">
        <f>Table545[[#This Row],[Credit]]-Table545[[#This Row],[Debit]]</f>
        <v>110568</v>
      </c>
      <c r="M160" s="29">
        <f>Table545[[#This Row],[Difference]]+M159</f>
        <v>141297.03999999998</v>
      </c>
      <c r="N160" s="22"/>
      <c r="O160" s="18" t="s">
        <v>25</v>
      </c>
      <c r="P160" s="29" t="s">
        <v>48</v>
      </c>
      <c r="Q160" s="22"/>
    </row>
    <row r="161" spans="2:17" x14ac:dyDescent="0.2">
      <c r="B161" s="199">
        <v>167</v>
      </c>
      <c r="C161" s="24" t="s">
        <v>34</v>
      </c>
      <c r="D161" s="53" t="s">
        <v>94</v>
      </c>
      <c r="E161" s="48">
        <v>43049</v>
      </c>
      <c r="F161" s="22"/>
      <c r="G161" s="22"/>
      <c r="H161" s="49">
        <v>0</v>
      </c>
      <c r="I161" s="49"/>
      <c r="J161" s="146"/>
      <c r="K161" s="22">
        <v>1525</v>
      </c>
      <c r="L161" s="29">
        <f>Table545[[#This Row],[Credit]]-Table545[[#This Row],[Debit]]</f>
        <v>-1525</v>
      </c>
      <c r="M161" s="29">
        <f>Table545[[#This Row],[Difference]]+M160</f>
        <v>139772.03999999998</v>
      </c>
      <c r="N161" s="18"/>
      <c r="O161" s="22" t="s">
        <v>29</v>
      </c>
      <c r="P161" s="50" t="s">
        <v>30</v>
      </c>
      <c r="Q161" s="22"/>
    </row>
    <row r="162" spans="2:17" x14ac:dyDescent="0.2">
      <c r="B162" s="197">
        <v>179</v>
      </c>
      <c r="C162" s="24" t="s">
        <v>34</v>
      </c>
      <c r="D162" s="148" t="s">
        <v>316</v>
      </c>
      <c r="E162" s="48">
        <v>43049</v>
      </c>
      <c r="F162" s="22"/>
      <c r="G162" s="22"/>
      <c r="H162" s="49">
        <v>0</v>
      </c>
      <c r="I162" s="49"/>
      <c r="J162" s="152">
        <v>150865</v>
      </c>
      <c r="K162" s="22"/>
      <c r="L162" s="29">
        <f>Table545[[#This Row],[Credit]]-Table545[[#This Row],[Debit]]</f>
        <v>150865</v>
      </c>
      <c r="M162" s="29">
        <f>Table545[[#This Row],[Difference]]+M161</f>
        <v>290637.03999999998</v>
      </c>
      <c r="N162" s="22"/>
      <c r="O162" s="18" t="s">
        <v>25</v>
      </c>
      <c r="P162" s="41" t="s">
        <v>48</v>
      </c>
      <c r="Q162" s="18" t="s">
        <v>343</v>
      </c>
    </row>
    <row r="163" spans="2:17" x14ac:dyDescent="0.2">
      <c r="B163" s="199">
        <v>168</v>
      </c>
      <c r="C163" s="24" t="s">
        <v>34</v>
      </c>
      <c r="D163" s="226" t="s">
        <v>344</v>
      </c>
      <c r="E163" s="17">
        <v>43052</v>
      </c>
      <c r="F163" s="18"/>
      <c r="G163" s="18"/>
      <c r="H163" s="20"/>
      <c r="I163" s="20"/>
      <c r="J163" s="29"/>
      <c r="K163" s="130">
        <v>3889</v>
      </c>
      <c r="L163" s="29">
        <f>Table545[[#This Row],[Credit]]-Table545[[#This Row],[Debit]]</f>
        <v>-3889</v>
      </c>
      <c r="M163" s="29">
        <f>Table545[[#This Row],[Difference]]+M162</f>
        <v>286748.03999999998</v>
      </c>
      <c r="N163" s="18"/>
      <c r="O163" s="22" t="s">
        <v>29</v>
      </c>
      <c r="P163" s="41" t="s">
        <v>79</v>
      </c>
      <c r="Q163" s="18"/>
    </row>
    <row r="164" spans="2:17" x14ac:dyDescent="0.2">
      <c r="B164" s="54">
        <v>169</v>
      </c>
      <c r="C164" s="24" t="s">
        <v>34</v>
      </c>
      <c r="D164" s="53" t="s">
        <v>345</v>
      </c>
      <c r="E164" s="48">
        <v>43053</v>
      </c>
      <c r="F164" s="22"/>
      <c r="G164" s="22"/>
      <c r="H164" s="49">
        <v>0</v>
      </c>
      <c r="I164" s="49"/>
      <c r="J164" s="146"/>
      <c r="K164" s="22">
        <v>3490</v>
      </c>
      <c r="L164" s="29">
        <f>Table545[[#This Row],[Credit]]-Table545[[#This Row],[Debit]]</f>
        <v>-3490</v>
      </c>
      <c r="M164" s="29">
        <f>Table545[[#This Row],[Difference]]+M163</f>
        <v>283258.03999999998</v>
      </c>
      <c r="N164" s="22"/>
      <c r="O164" s="22" t="s">
        <v>29</v>
      </c>
      <c r="P164" s="50" t="s">
        <v>71</v>
      </c>
      <c r="Q164" s="22"/>
    </row>
    <row r="165" spans="2:17" x14ac:dyDescent="0.2">
      <c r="B165" s="45">
        <v>169</v>
      </c>
      <c r="C165" s="24" t="s">
        <v>34</v>
      </c>
      <c r="D165" s="53" t="s">
        <v>132</v>
      </c>
      <c r="E165" s="48">
        <v>43053</v>
      </c>
      <c r="F165" s="22"/>
      <c r="G165" s="22"/>
      <c r="H165" s="49">
        <v>0</v>
      </c>
      <c r="I165" s="49"/>
      <c r="J165" s="146"/>
      <c r="K165" s="22">
        <v>2360</v>
      </c>
      <c r="L165" s="29">
        <f>Table545[[#This Row],[Credit]]-Table545[[#This Row],[Debit]]</f>
        <v>-2360</v>
      </c>
      <c r="M165" s="29">
        <f>Table545[[#This Row],[Difference]]+M164</f>
        <v>280898.03999999998</v>
      </c>
      <c r="N165" s="22"/>
      <c r="O165" s="22" t="s">
        <v>29</v>
      </c>
      <c r="P165" s="50" t="s">
        <v>44</v>
      </c>
      <c r="Q165" s="22"/>
    </row>
    <row r="166" spans="2:17" x14ac:dyDescent="0.2">
      <c r="B166" s="45">
        <v>170</v>
      </c>
      <c r="C166" s="24" t="s">
        <v>34</v>
      </c>
      <c r="D166" s="53" t="s">
        <v>350</v>
      </c>
      <c r="E166" s="48">
        <v>43054</v>
      </c>
      <c r="F166" s="22"/>
      <c r="G166" s="22"/>
      <c r="H166" s="49">
        <v>0</v>
      </c>
      <c r="I166" s="49"/>
      <c r="J166" s="146"/>
      <c r="K166" s="22">
        <v>1225</v>
      </c>
      <c r="L166" s="29">
        <f>Table545[[#This Row],[Credit]]-Table545[[#This Row],[Debit]]</f>
        <v>-1225</v>
      </c>
      <c r="M166" s="29">
        <f>Table545[[#This Row],[Difference]]+M165</f>
        <v>279673.03999999998</v>
      </c>
      <c r="N166" s="22"/>
      <c r="O166" s="22" t="s">
        <v>29</v>
      </c>
      <c r="P166" s="50" t="s">
        <v>112</v>
      </c>
      <c r="Q166" s="22"/>
    </row>
    <row r="167" spans="2:17" x14ac:dyDescent="0.2">
      <c r="B167" s="45">
        <v>171</v>
      </c>
      <c r="C167" s="24" t="s">
        <v>34</v>
      </c>
      <c r="D167" s="53" t="s">
        <v>351</v>
      </c>
      <c r="E167" s="48">
        <v>43054</v>
      </c>
      <c r="F167" s="22"/>
      <c r="G167" s="22"/>
      <c r="H167" s="49">
        <v>0</v>
      </c>
      <c r="I167" s="49"/>
      <c r="J167" s="146"/>
      <c r="K167" s="22">
        <v>1107</v>
      </c>
      <c r="L167" s="29">
        <f>Table545[[#This Row],[Credit]]-Table545[[#This Row],[Debit]]</f>
        <v>-1107</v>
      </c>
      <c r="M167" s="29">
        <f>Table545[[#This Row],[Difference]]+M166</f>
        <v>278566.03999999998</v>
      </c>
      <c r="N167" s="22"/>
      <c r="O167" s="22" t="s">
        <v>29</v>
      </c>
      <c r="P167" s="50" t="s">
        <v>112</v>
      </c>
      <c r="Q167" s="22"/>
    </row>
    <row r="168" spans="2:17" x14ac:dyDescent="0.2">
      <c r="B168" s="45">
        <v>172</v>
      </c>
      <c r="C168" s="24" t="s">
        <v>34</v>
      </c>
      <c r="D168" s="53" t="s">
        <v>352</v>
      </c>
      <c r="E168" s="48">
        <v>43054</v>
      </c>
      <c r="F168" s="22"/>
      <c r="G168" s="22"/>
      <c r="H168" s="49">
        <v>0</v>
      </c>
      <c r="I168" s="49"/>
      <c r="J168" s="146"/>
      <c r="K168" s="22">
        <v>3698</v>
      </c>
      <c r="L168" s="29">
        <f>Table545[[#This Row],[Credit]]-Table545[[#This Row],[Debit]]</f>
        <v>-3698</v>
      </c>
      <c r="M168" s="29">
        <f>Table545[[#This Row],[Difference]]+M167</f>
        <v>274868.03999999998</v>
      </c>
      <c r="N168" s="22"/>
      <c r="O168" s="22" t="s">
        <v>29</v>
      </c>
      <c r="P168" s="50" t="s">
        <v>71</v>
      </c>
      <c r="Q168" s="22"/>
    </row>
    <row r="169" spans="2:17" x14ac:dyDescent="0.2">
      <c r="B169" s="45">
        <v>173</v>
      </c>
      <c r="C169" s="24" t="s">
        <v>34</v>
      </c>
      <c r="D169" s="53" t="s">
        <v>412</v>
      </c>
      <c r="E169" s="48">
        <v>43055</v>
      </c>
      <c r="F169" s="22"/>
      <c r="G169" s="22"/>
      <c r="H169" s="49">
        <v>0</v>
      </c>
      <c r="I169" s="49"/>
      <c r="J169" s="146"/>
      <c r="K169" s="22">
        <v>6100</v>
      </c>
      <c r="L169" s="29">
        <f>Table545[[#This Row],[Credit]]-Table545[[#This Row],[Debit]]</f>
        <v>-6100</v>
      </c>
      <c r="M169" s="29">
        <f>Table545[[#This Row],[Difference]]+M168</f>
        <v>268768.03999999998</v>
      </c>
      <c r="N169" s="22"/>
      <c r="O169" s="22" t="s">
        <v>29</v>
      </c>
      <c r="P169" s="50" t="s">
        <v>71</v>
      </c>
      <c r="Q169" s="22" t="s">
        <v>343</v>
      </c>
    </row>
    <row r="170" spans="2:17" x14ac:dyDescent="0.2">
      <c r="B170" s="45">
        <v>174</v>
      </c>
      <c r="C170" s="24" t="s">
        <v>34</v>
      </c>
      <c r="D170" s="53" t="s">
        <v>353</v>
      </c>
      <c r="E170" s="48">
        <v>43056</v>
      </c>
      <c r="F170" s="22"/>
      <c r="G170" s="22"/>
      <c r="H170" s="49">
        <v>0</v>
      </c>
      <c r="I170" s="49"/>
      <c r="J170" s="146"/>
      <c r="K170" s="22">
        <v>1200</v>
      </c>
      <c r="L170" s="29">
        <f>Table545[[#This Row],[Credit]]-Table545[[#This Row],[Debit]]</f>
        <v>-1200</v>
      </c>
      <c r="M170" s="29">
        <f>Table545[[#This Row],[Difference]]+M169</f>
        <v>267568.03999999998</v>
      </c>
      <c r="N170" s="22"/>
      <c r="O170" s="22" t="s">
        <v>29</v>
      </c>
      <c r="P170" s="22" t="s">
        <v>30</v>
      </c>
      <c r="Q170" s="22"/>
    </row>
    <row r="171" spans="2:17" x14ac:dyDescent="0.2">
      <c r="B171" s="45">
        <v>175</v>
      </c>
      <c r="C171" s="24" t="s">
        <v>34</v>
      </c>
      <c r="D171" s="148" t="s">
        <v>318</v>
      </c>
      <c r="E171" s="48">
        <v>43059</v>
      </c>
      <c r="F171" s="22"/>
      <c r="G171" s="22"/>
      <c r="H171" s="49">
        <v>0</v>
      </c>
      <c r="I171" s="49"/>
      <c r="J171" s="146"/>
      <c r="K171" s="22">
        <v>10000</v>
      </c>
      <c r="L171" s="29">
        <f>Table545[[#This Row],[Credit]]-Table545[[#This Row],[Debit]]</f>
        <v>-10000</v>
      </c>
      <c r="M171" s="29">
        <f>Table545[[#This Row],[Difference]]+M170</f>
        <v>257568.03999999998</v>
      </c>
      <c r="N171" s="22"/>
      <c r="O171" s="146" t="s">
        <v>29</v>
      </c>
      <c r="P171" s="225" t="s">
        <v>79</v>
      </c>
      <c r="Q171" s="22"/>
    </row>
    <row r="172" spans="2:17" x14ac:dyDescent="0.2">
      <c r="B172" s="45">
        <v>176</v>
      </c>
      <c r="C172" s="24" t="s">
        <v>34</v>
      </c>
      <c r="D172" s="148" t="s">
        <v>355</v>
      </c>
      <c r="E172" s="48">
        <v>43059</v>
      </c>
      <c r="F172" s="22"/>
      <c r="G172" s="22"/>
      <c r="H172" s="49">
        <v>0</v>
      </c>
      <c r="I172" s="49"/>
      <c r="J172" s="146"/>
      <c r="K172" s="22">
        <v>2990</v>
      </c>
      <c r="L172" s="29">
        <f>Table545[[#This Row],[Credit]]-Table545[[#This Row],[Debit]]</f>
        <v>-2990</v>
      </c>
      <c r="M172" s="29">
        <f>Table545[[#This Row],[Difference]]+M171</f>
        <v>254578.03999999998</v>
      </c>
      <c r="N172" s="22"/>
      <c r="O172" s="22" t="s">
        <v>29</v>
      </c>
      <c r="P172" s="50" t="s">
        <v>71</v>
      </c>
      <c r="Q172" s="22"/>
    </row>
    <row r="173" spans="2:17" x14ac:dyDescent="0.2">
      <c r="B173" s="45">
        <v>178</v>
      </c>
      <c r="C173" s="24" t="s">
        <v>34</v>
      </c>
      <c r="D173" s="53" t="s">
        <v>117</v>
      </c>
      <c r="E173" s="48">
        <v>43060</v>
      </c>
      <c r="F173" s="22"/>
      <c r="G173" s="22"/>
      <c r="H173" s="20">
        <v>0</v>
      </c>
      <c r="I173" s="49"/>
      <c r="J173" s="146"/>
      <c r="K173" s="22">
        <v>29.5</v>
      </c>
      <c r="L173" s="29">
        <f>Table545[[#This Row],[Credit]]-Table545[[#This Row],[Debit]]</f>
        <v>-29.5</v>
      </c>
      <c r="M173" s="29">
        <f>Table545[[#This Row],[Difference]]+M172</f>
        <v>254548.53999999998</v>
      </c>
      <c r="N173" s="22"/>
      <c r="O173" s="22" t="s">
        <v>81</v>
      </c>
      <c r="P173" s="51" t="s">
        <v>82</v>
      </c>
      <c r="Q173" s="22"/>
    </row>
    <row r="174" spans="2:17" x14ac:dyDescent="0.2">
      <c r="B174" s="45">
        <v>179</v>
      </c>
      <c r="C174" s="24" t="s">
        <v>34</v>
      </c>
      <c r="D174" s="53" t="s">
        <v>61</v>
      </c>
      <c r="E174" s="48">
        <v>43060</v>
      </c>
      <c r="F174" s="22"/>
      <c r="G174" s="22"/>
      <c r="H174" s="20">
        <v>0</v>
      </c>
      <c r="I174" s="49"/>
      <c r="J174" s="146"/>
      <c r="K174" s="22">
        <v>10266</v>
      </c>
      <c r="L174" s="29">
        <f>Table545[[#This Row],[Credit]]-Table545[[#This Row],[Debit]]</f>
        <v>-10266</v>
      </c>
      <c r="M174" s="29">
        <f>Table545[[#This Row],[Difference]]+M173</f>
        <v>244282.53999999998</v>
      </c>
      <c r="N174" s="22"/>
      <c r="O174" s="22" t="s">
        <v>29</v>
      </c>
      <c r="P174" s="53" t="s">
        <v>38</v>
      </c>
      <c r="Q174" s="22"/>
    </row>
    <row r="175" spans="2:17" x14ac:dyDescent="0.2">
      <c r="B175" s="45">
        <v>180</v>
      </c>
      <c r="C175" s="24" t="s">
        <v>34</v>
      </c>
      <c r="D175" s="15" t="s">
        <v>141</v>
      </c>
      <c r="E175" s="48">
        <v>43060</v>
      </c>
      <c r="F175" s="18"/>
      <c r="G175" s="18"/>
      <c r="H175" s="20">
        <v>0</v>
      </c>
      <c r="I175" s="20"/>
      <c r="J175" s="18"/>
      <c r="K175" s="18">
        <v>53079</v>
      </c>
      <c r="L175" s="29">
        <f>Table545[[#This Row],[Credit]]-Table545[[#This Row],[Debit]]</f>
        <v>-53079</v>
      </c>
      <c r="M175" s="29">
        <f>Table545[[#This Row],[Difference]]+M174</f>
        <v>191203.53999999998</v>
      </c>
      <c r="N175" s="18"/>
      <c r="O175" s="18" t="s">
        <v>29</v>
      </c>
      <c r="P175" s="18" t="s">
        <v>86</v>
      </c>
      <c r="Q175" s="22"/>
    </row>
    <row r="176" spans="2:17" x14ac:dyDescent="0.2">
      <c r="B176" s="45">
        <v>181</v>
      </c>
      <c r="C176" s="24" t="s">
        <v>34</v>
      </c>
      <c r="D176" s="148" t="s">
        <v>315</v>
      </c>
      <c r="E176" s="48">
        <v>43066</v>
      </c>
      <c r="F176" s="22"/>
      <c r="G176" s="22"/>
      <c r="H176" s="49">
        <v>0</v>
      </c>
      <c r="I176" s="49"/>
      <c r="J176" s="152">
        <v>150461</v>
      </c>
      <c r="K176" s="22"/>
      <c r="L176" s="29">
        <f>Table545[[#This Row],[Credit]]-Table545[[#This Row],[Debit]]</f>
        <v>150461</v>
      </c>
      <c r="M176" s="29">
        <f>Table545[[#This Row],[Difference]]+M175</f>
        <v>341664.54</v>
      </c>
      <c r="N176" s="22"/>
      <c r="O176" s="18" t="s">
        <v>25</v>
      </c>
      <c r="P176" s="18" t="s">
        <v>48</v>
      </c>
      <c r="Q176" s="18" t="s">
        <v>343</v>
      </c>
    </row>
    <row r="177" spans="2:17" x14ac:dyDescent="0.2">
      <c r="B177" s="45">
        <v>182</v>
      </c>
      <c r="C177" s="24" t="s">
        <v>34</v>
      </c>
      <c r="D177" s="148" t="s">
        <v>315</v>
      </c>
      <c r="E177" s="48">
        <v>43066</v>
      </c>
      <c r="F177" s="22"/>
      <c r="G177" s="22"/>
      <c r="H177" s="49">
        <v>0</v>
      </c>
      <c r="I177" s="49"/>
      <c r="J177" s="152">
        <v>74922</v>
      </c>
      <c r="K177" s="22"/>
      <c r="L177" s="29">
        <f>Table545[[#This Row],[Credit]]-Table545[[#This Row],[Debit]]</f>
        <v>74922</v>
      </c>
      <c r="M177" s="29">
        <f>Table545[[#This Row],[Difference]]+M176</f>
        <v>416586.54</v>
      </c>
      <c r="N177" s="22"/>
      <c r="O177" s="18" t="s">
        <v>25</v>
      </c>
      <c r="P177" s="18" t="s">
        <v>48</v>
      </c>
      <c r="Q177" s="18" t="s">
        <v>343</v>
      </c>
    </row>
    <row r="178" spans="2:17" x14ac:dyDescent="0.2">
      <c r="B178" s="45">
        <v>183</v>
      </c>
      <c r="C178" s="24" t="s">
        <v>34</v>
      </c>
      <c r="D178" s="148" t="s">
        <v>362</v>
      </c>
      <c r="E178" s="48">
        <v>43067</v>
      </c>
      <c r="F178" s="22"/>
      <c r="G178" s="22"/>
      <c r="H178" s="49">
        <v>0</v>
      </c>
      <c r="I178" s="49"/>
      <c r="J178" s="22"/>
      <c r="K178" s="223">
        <v>2875</v>
      </c>
      <c r="L178" s="29">
        <f>Table545[[#This Row],[Credit]]-Table545[[#This Row],[Debit]]</f>
        <v>-2875</v>
      </c>
      <c r="M178" s="29">
        <f>Table545[[#This Row],[Difference]]+M177</f>
        <v>413711.54</v>
      </c>
      <c r="N178" s="22"/>
      <c r="O178" s="18" t="s">
        <v>29</v>
      </c>
      <c r="P178" s="50" t="s">
        <v>363</v>
      </c>
      <c r="Q178" s="22" t="s">
        <v>343</v>
      </c>
    </row>
    <row r="179" spans="2:17" x14ac:dyDescent="0.2">
      <c r="B179" s="45">
        <v>184</v>
      </c>
      <c r="C179" s="24" t="s">
        <v>34</v>
      </c>
      <c r="D179" s="148" t="s">
        <v>318</v>
      </c>
      <c r="E179" s="48">
        <v>43068</v>
      </c>
      <c r="F179" s="22"/>
      <c r="G179" s="22"/>
      <c r="H179" s="49">
        <v>0</v>
      </c>
      <c r="I179" s="49"/>
      <c r="J179" s="146"/>
      <c r="K179" s="22">
        <v>15000</v>
      </c>
      <c r="L179" s="29">
        <f>Table545[[#This Row],[Credit]]-Table545[[#This Row],[Debit]]</f>
        <v>-15000</v>
      </c>
      <c r="M179" s="29">
        <f>Table545[[#This Row],[Difference]]+M178</f>
        <v>398711.54</v>
      </c>
      <c r="N179" s="22"/>
      <c r="O179" s="18" t="s">
        <v>386</v>
      </c>
      <c r="P179" s="22" t="s">
        <v>388</v>
      </c>
      <c r="Q179" s="22"/>
    </row>
    <row r="180" spans="2:17" x14ac:dyDescent="0.2">
      <c r="B180" s="45">
        <v>185</v>
      </c>
      <c r="C180" s="24" t="s">
        <v>34</v>
      </c>
      <c r="D180" s="15" t="s">
        <v>364</v>
      </c>
      <c r="E180" s="48">
        <v>43070</v>
      </c>
      <c r="F180" s="22"/>
      <c r="G180" s="22"/>
      <c r="H180" s="49">
        <v>0</v>
      </c>
      <c r="I180" s="49"/>
      <c r="J180" s="22"/>
      <c r="K180" s="22">
        <v>17800</v>
      </c>
      <c r="L180" s="29">
        <f>Table545[[#This Row],[Credit]]-Table545[[#This Row],[Debit]]</f>
        <v>-17800</v>
      </c>
      <c r="M180" s="29">
        <f>Table545[[#This Row],[Difference]]+M179</f>
        <v>380911.54</v>
      </c>
      <c r="N180" s="22"/>
      <c r="O180" s="22" t="s">
        <v>29</v>
      </c>
      <c r="P180" s="51" t="s">
        <v>86</v>
      </c>
      <c r="Q180" s="18" t="s">
        <v>343</v>
      </c>
    </row>
    <row r="181" spans="2:17" x14ac:dyDescent="0.2">
      <c r="B181" s="45">
        <v>186</v>
      </c>
      <c r="C181" s="24" t="s">
        <v>34</v>
      </c>
      <c r="D181" s="10" t="s">
        <v>365</v>
      </c>
      <c r="E181" s="48">
        <v>43070</v>
      </c>
      <c r="F181" s="22"/>
      <c r="G181" s="22"/>
      <c r="H181" s="49">
        <v>0</v>
      </c>
      <c r="I181" s="49"/>
      <c r="J181" s="22"/>
      <c r="K181" s="22">
        <v>9800</v>
      </c>
      <c r="L181" s="29">
        <f>Table545[[#This Row],[Credit]]-Table545[[#This Row],[Debit]]</f>
        <v>-9800</v>
      </c>
      <c r="M181" s="29">
        <f>Table545[[#This Row],[Difference]]+M180</f>
        <v>371111.54</v>
      </c>
      <c r="N181" s="22"/>
      <c r="O181" s="22" t="s">
        <v>29</v>
      </c>
      <c r="P181" s="51" t="s">
        <v>86</v>
      </c>
      <c r="Q181" s="18" t="s">
        <v>343</v>
      </c>
    </row>
    <row r="182" spans="2:17" x14ac:dyDescent="0.2">
      <c r="B182" s="45">
        <v>187</v>
      </c>
      <c r="C182" s="24" t="s">
        <v>34</v>
      </c>
      <c r="D182" s="10" t="s">
        <v>369</v>
      </c>
      <c r="E182" s="48">
        <v>43070</v>
      </c>
      <c r="F182" s="22"/>
      <c r="G182" s="22"/>
      <c r="H182" s="49">
        <v>0</v>
      </c>
      <c r="I182" s="49"/>
      <c r="J182" s="22"/>
      <c r="K182" s="22">
        <v>10000</v>
      </c>
      <c r="L182" s="29">
        <f>Table545[[#This Row],[Credit]]-Table545[[#This Row],[Debit]]</f>
        <v>-10000</v>
      </c>
      <c r="M182" s="29">
        <f>Table545[[#This Row],[Difference]]+M181</f>
        <v>361111.54</v>
      </c>
      <c r="N182" s="22"/>
      <c r="O182" s="22" t="s">
        <v>29</v>
      </c>
      <c r="P182" s="51" t="s">
        <v>86</v>
      </c>
      <c r="Q182" s="18" t="s">
        <v>343</v>
      </c>
    </row>
    <row r="183" spans="2:17" x14ac:dyDescent="0.2">
      <c r="B183" s="45">
        <v>188</v>
      </c>
      <c r="C183" s="24" t="s">
        <v>34</v>
      </c>
      <c r="D183" s="10" t="s">
        <v>367</v>
      </c>
      <c r="E183" s="48">
        <v>43070</v>
      </c>
      <c r="F183" s="22"/>
      <c r="G183" s="22"/>
      <c r="H183" s="49">
        <v>0</v>
      </c>
      <c r="I183" s="49"/>
      <c r="J183" s="22"/>
      <c r="K183" s="22">
        <v>17800</v>
      </c>
      <c r="L183" s="29">
        <f>Table545[[#This Row],[Credit]]-Table545[[#This Row],[Debit]]</f>
        <v>-17800</v>
      </c>
      <c r="M183" s="29">
        <f>Table545[[#This Row],[Difference]]+M182</f>
        <v>343311.54</v>
      </c>
      <c r="N183" s="22"/>
      <c r="O183" s="22" t="s">
        <v>29</v>
      </c>
      <c r="P183" s="51" t="s">
        <v>86</v>
      </c>
      <c r="Q183" s="18" t="s">
        <v>343</v>
      </c>
    </row>
    <row r="184" spans="2:17" x14ac:dyDescent="0.2">
      <c r="B184" s="45">
        <v>189</v>
      </c>
      <c r="C184" s="24" t="s">
        <v>34</v>
      </c>
      <c r="D184" s="10" t="s">
        <v>368</v>
      </c>
      <c r="E184" s="48">
        <v>43070</v>
      </c>
      <c r="F184" s="22"/>
      <c r="G184" s="22"/>
      <c r="H184" s="49">
        <v>0</v>
      </c>
      <c r="I184" s="49"/>
      <c r="J184" s="22"/>
      <c r="K184" s="22">
        <v>19800</v>
      </c>
      <c r="L184" s="29">
        <f>Table545[[#This Row],[Credit]]-Table545[[#This Row],[Debit]]</f>
        <v>-19800</v>
      </c>
      <c r="M184" s="29">
        <f>Table545[[#This Row],[Difference]]+M183</f>
        <v>323511.53999999998</v>
      </c>
      <c r="N184" s="22"/>
      <c r="O184" s="22" t="s">
        <v>29</v>
      </c>
      <c r="P184" s="51" t="s">
        <v>86</v>
      </c>
      <c r="Q184" s="18" t="s">
        <v>343</v>
      </c>
    </row>
    <row r="185" spans="2:17" x14ac:dyDescent="0.2">
      <c r="B185" s="45">
        <v>190</v>
      </c>
      <c r="C185" s="24" t="s">
        <v>34</v>
      </c>
      <c r="D185" s="10" t="s">
        <v>370</v>
      </c>
      <c r="E185" s="48">
        <v>43070</v>
      </c>
      <c r="F185" s="22"/>
      <c r="G185" s="22"/>
      <c r="H185" s="49">
        <v>0</v>
      </c>
      <c r="I185" s="49"/>
      <c r="J185" s="22"/>
      <c r="K185" s="22">
        <v>12300</v>
      </c>
      <c r="L185" s="29">
        <f>Table545[[#This Row],[Credit]]-Table545[[#This Row],[Debit]]</f>
        <v>-12300</v>
      </c>
      <c r="M185" s="29">
        <f>Table545[[#This Row],[Difference]]+M184</f>
        <v>311211.53999999998</v>
      </c>
      <c r="N185" s="22"/>
      <c r="O185" s="22" t="s">
        <v>29</v>
      </c>
      <c r="P185" s="51" t="s">
        <v>86</v>
      </c>
      <c r="Q185" s="18" t="s">
        <v>343</v>
      </c>
    </row>
    <row r="186" spans="2:17" x14ac:dyDescent="0.2">
      <c r="B186" s="45">
        <v>191</v>
      </c>
      <c r="C186" s="24" t="s">
        <v>34</v>
      </c>
      <c r="D186" s="10" t="s">
        <v>371</v>
      </c>
      <c r="E186" s="48">
        <v>43070</v>
      </c>
      <c r="F186" s="22"/>
      <c r="G186" s="22"/>
      <c r="H186" s="49">
        <v>0</v>
      </c>
      <c r="I186" s="49"/>
      <c r="J186" s="22"/>
      <c r="K186" s="22">
        <v>13800</v>
      </c>
      <c r="L186" s="29">
        <f>Table545[[#This Row],[Credit]]-Table545[[#This Row],[Debit]]</f>
        <v>-13800</v>
      </c>
      <c r="M186" s="29">
        <f>Table545[[#This Row],[Difference]]+M185</f>
        <v>297411.53999999998</v>
      </c>
      <c r="N186" s="22"/>
      <c r="O186" s="22" t="s">
        <v>29</v>
      </c>
      <c r="P186" s="51" t="s">
        <v>86</v>
      </c>
      <c r="Q186" s="18" t="s">
        <v>343</v>
      </c>
    </row>
    <row r="187" spans="2:17" x14ac:dyDescent="0.2">
      <c r="B187" s="45">
        <v>192</v>
      </c>
      <c r="C187" s="24" t="s">
        <v>34</v>
      </c>
      <c r="D187" s="10" t="s">
        <v>372</v>
      </c>
      <c r="E187" s="48">
        <v>43070</v>
      </c>
      <c r="F187" s="22"/>
      <c r="G187" s="22"/>
      <c r="H187" s="49">
        <v>0</v>
      </c>
      <c r="I187" s="49"/>
      <c r="J187" s="22"/>
      <c r="K187" s="22">
        <v>15000</v>
      </c>
      <c r="L187" s="29">
        <f>Table545[[#This Row],[Credit]]-Table545[[#This Row],[Debit]]</f>
        <v>-15000</v>
      </c>
      <c r="M187" s="29">
        <f>Table545[[#This Row],[Difference]]+M186</f>
        <v>282411.53999999998</v>
      </c>
      <c r="N187" s="22"/>
      <c r="O187" s="22" t="s">
        <v>29</v>
      </c>
      <c r="P187" s="51" t="s">
        <v>86</v>
      </c>
      <c r="Q187" s="18" t="s">
        <v>343</v>
      </c>
    </row>
    <row r="188" spans="2:17" x14ac:dyDescent="0.2">
      <c r="B188" s="45">
        <v>193</v>
      </c>
      <c r="C188" s="24" t="s">
        <v>34</v>
      </c>
      <c r="D188" s="10" t="s">
        <v>373</v>
      </c>
      <c r="E188" s="48">
        <v>43070</v>
      </c>
      <c r="F188" s="22"/>
      <c r="G188" s="22"/>
      <c r="H188" s="49">
        <v>0</v>
      </c>
      <c r="I188" s="49"/>
      <c r="J188" s="22"/>
      <c r="K188" s="22">
        <v>5667</v>
      </c>
      <c r="L188" s="29">
        <f>Table545[[#This Row],[Credit]]-Table545[[#This Row],[Debit]]</f>
        <v>-5667</v>
      </c>
      <c r="M188" s="29">
        <f>Table545[[#This Row],[Difference]]+M187</f>
        <v>276744.53999999998</v>
      </c>
      <c r="N188" s="22"/>
      <c r="O188" s="22" t="s">
        <v>29</v>
      </c>
      <c r="P188" s="51" t="s">
        <v>86</v>
      </c>
      <c r="Q188" s="18" t="s">
        <v>343</v>
      </c>
    </row>
    <row r="189" spans="2:17" x14ac:dyDescent="0.2">
      <c r="B189" s="45">
        <v>194</v>
      </c>
      <c r="C189" s="24" t="s">
        <v>34</v>
      </c>
      <c r="D189" s="10" t="s">
        <v>374</v>
      </c>
      <c r="E189" s="48">
        <v>43070</v>
      </c>
      <c r="F189" s="22"/>
      <c r="G189" s="22"/>
      <c r="H189" s="49">
        <v>0</v>
      </c>
      <c r="I189" s="49"/>
      <c r="J189" s="22"/>
      <c r="K189" s="22">
        <v>6400</v>
      </c>
      <c r="L189" s="29">
        <f>Table545[[#This Row],[Credit]]-Table545[[#This Row],[Debit]]</f>
        <v>-6400</v>
      </c>
      <c r="M189" s="29">
        <f>Table545[[#This Row],[Difference]]+M188</f>
        <v>270344.53999999998</v>
      </c>
      <c r="N189" s="22"/>
      <c r="O189" s="22" t="s">
        <v>29</v>
      </c>
      <c r="P189" s="51" t="s">
        <v>86</v>
      </c>
      <c r="Q189" s="18" t="s">
        <v>343</v>
      </c>
    </row>
    <row r="190" spans="2:17" x14ac:dyDescent="0.2">
      <c r="B190" s="45">
        <v>195</v>
      </c>
      <c r="C190" s="24" t="s">
        <v>34</v>
      </c>
      <c r="D190" s="10" t="s">
        <v>366</v>
      </c>
      <c r="E190" s="48">
        <v>43070</v>
      </c>
      <c r="F190" s="22"/>
      <c r="G190" s="22"/>
      <c r="H190" s="49">
        <v>0</v>
      </c>
      <c r="I190" s="49"/>
      <c r="J190" s="22"/>
      <c r="K190" s="22">
        <v>1200</v>
      </c>
      <c r="L190" s="29">
        <f>Table545[[#This Row],[Credit]]-Table545[[#This Row],[Debit]]</f>
        <v>-1200</v>
      </c>
      <c r="M190" s="29">
        <f>Table545[[#This Row],[Difference]]+M189</f>
        <v>269144.53999999998</v>
      </c>
      <c r="N190" s="22"/>
      <c r="O190" s="22" t="s">
        <v>29</v>
      </c>
      <c r="P190" s="51" t="s">
        <v>86</v>
      </c>
      <c r="Q190" s="18" t="s">
        <v>343</v>
      </c>
    </row>
    <row r="191" spans="2:17" x14ac:dyDescent="0.2">
      <c r="B191" s="45">
        <v>196</v>
      </c>
      <c r="C191" s="24" t="s">
        <v>34</v>
      </c>
      <c r="D191" s="148" t="s">
        <v>377</v>
      </c>
      <c r="E191" s="48">
        <v>43073</v>
      </c>
      <c r="F191" s="22"/>
      <c r="G191" s="22"/>
      <c r="H191" s="49">
        <v>0</v>
      </c>
      <c r="I191" s="49"/>
      <c r="J191" s="22"/>
      <c r="K191" s="22">
        <v>544</v>
      </c>
      <c r="L191" s="29">
        <f>Table545[[#This Row],[Credit]]-Table545[[#This Row],[Debit]]</f>
        <v>-544</v>
      </c>
      <c r="M191" s="29">
        <f>Table545[[#This Row],[Difference]]+M190</f>
        <v>268600.53999999998</v>
      </c>
      <c r="N191" s="22"/>
      <c r="O191" s="18" t="s">
        <v>29</v>
      </c>
      <c r="P191" s="228" t="s">
        <v>112</v>
      </c>
      <c r="Q191" s="22"/>
    </row>
    <row r="192" spans="2:17" x14ac:dyDescent="0.2">
      <c r="B192" s="45">
        <v>197</v>
      </c>
      <c r="C192" s="24" t="s">
        <v>34</v>
      </c>
      <c r="D192" s="148" t="s">
        <v>115</v>
      </c>
      <c r="E192" s="48">
        <v>43075</v>
      </c>
      <c r="F192" s="22"/>
      <c r="G192" s="22"/>
      <c r="H192" s="49">
        <v>0</v>
      </c>
      <c r="I192" s="49"/>
      <c r="J192" s="22"/>
      <c r="K192" s="22">
        <v>2549</v>
      </c>
      <c r="L192" s="29">
        <f>Table545[[#This Row],[Credit]]-Table545[[#This Row],[Debit]]</f>
        <v>-2549</v>
      </c>
      <c r="M192" s="29">
        <f>Table545[[#This Row],[Difference]]+M191</f>
        <v>266051.53999999998</v>
      </c>
      <c r="N192" s="22"/>
      <c r="O192" s="22" t="s">
        <v>29</v>
      </c>
      <c r="P192" s="228" t="s">
        <v>30</v>
      </c>
      <c r="Q192" s="22"/>
    </row>
    <row r="193" spans="2:17" x14ac:dyDescent="0.2">
      <c r="B193" s="45">
        <v>198</v>
      </c>
      <c r="C193" s="24" t="s">
        <v>34</v>
      </c>
      <c r="D193" s="15" t="s">
        <v>111</v>
      </c>
      <c r="E193" s="48">
        <v>43076</v>
      </c>
      <c r="F193" s="22"/>
      <c r="G193" s="22"/>
      <c r="H193" s="49">
        <v>0</v>
      </c>
      <c r="I193" s="49"/>
      <c r="J193" s="22"/>
      <c r="K193" s="22">
        <v>8217</v>
      </c>
      <c r="L193" s="29">
        <f>Table545[[#This Row],[Credit]]-Table545[[#This Row],[Debit]]</f>
        <v>-8217</v>
      </c>
      <c r="M193" s="29">
        <f>Table545[[#This Row],[Difference]]+M192</f>
        <v>257834.53999999998</v>
      </c>
      <c r="N193" s="22"/>
      <c r="O193" s="18" t="s">
        <v>29</v>
      </c>
      <c r="P193" s="228" t="s">
        <v>112</v>
      </c>
      <c r="Q193" s="22"/>
    </row>
    <row r="194" spans="2:17" x14ac:dyDescent="0.2">
      <c r="B194" s="45">
        <v>199</v>
      </c>
      <c r="C194" s="24" t="s">
        <v>34</v>
      </c>
      <c r="D194" s="148" t="s">
        <v>378</v>
      </c>
      <c r="E194" s="48">
        <v>43080</v>
      </c>
      <c r="F194" s="22"/>
      <c r="G194" s="22"/>
      <c r="H194" s="49">
        <v>0</v>
      </c>
      <c r="I194" s="49"/>
      <c r="J194" s="22"/>
      <c r="K194" s="22">
        <v>348</v>
      </c>
      <c r="L194" s="29">
        <f>Table545[[#This Row],[Credit]]-Table545[[#This Row],[Debit]]</f>
        <v>-348</v>
      </c>
      <c r="M194" s="29">
        <f>Table545[[#This Row],[Difference]]+M193</f>
        <v>257486.53999999998</v>
      </c>
      <c r="N194" s="22"/>
      <c r="O194" s="18" t="s">
        <v>29</v>
      </c>
      <c r="P194" s="50" t="s">
        <v>112</v>
      </c>
      <c r="Q194" s="22" t="s">
        <v>343</v>
      </c>
    </row>
    <row r="195" spans="2:17" x14ac:dyDescent="0.2">
      <c r="B195" s="45">
        <v>200</v>
      </c>
      <c r="C195" s="24" t="s">
        <v>34</v>
      </c>
      <c r="D195" s="53" t="s">
        <v>351</v>
      </c>
      <c r="E195" s="48">
        <v>43080</v>
      </c>
      <c r="F195" s="22"/>
      <c r="G195" s="22"/>
      <c r="H195" s="49">
        <v>0</v>
      </c>
      <c r="I195" s="49"/>
      <c r="J195" s="22"/>
      <c r="K195" s="22">
        <v>2181</v>
      </c>
      <c r="L195" s="29">
        <f>Table545[[#This Row],[Credit]]-Table545[[#This Row],[Debit]]</f>
        <v>-2181</v>
      </c>
      <c r="M195" s="29">
        <f>Table545[[#This Row],[Difference]]+M194</f>
        <v>255305.53999999998</v>
      </c>
      <c r="N195" s="22"/>
      <c r="O195" s="18" t="s">
        <v>29</v>
      </c>
      <c r="P195" s="50" t="s">
        <v>112</v>
      </c>
      <c r="Q195" s="22" t="s">
        <v>343</v>
      </c>
    </row>
    <row r="196" spans="2:17" x14ac:dyDescent="0.2">
      <c r="B196" s="45">
        <v>201</v>
      </c>
      <c r="C196" s="24" t="s">
        <v>34</v>
      </c>
      <c r="D196" s="53" t="s">
        <v>387</v>
      </c>
      <c r="E196" s="48">
        <v>43080</v>
      </c>
      <c r="F196" s="22"/>
      <c r="G196" s="22"/>
      <c r="H196" s="49">
        <v>0</v>
      </c>
      <c r="I196" s="49"/>
      <c r="J196" s="22"/>
      <c r="K196" s="22">
        <v>9823</v>
      </c>
      <c r="L196" s="29">
        <f>Table545[[#This Row],[Credit]]-Table545[[#This Row],[Debit]]</f>
        <v>-9823</v>
      </c>
      <c r="M196" s="29">
        <f>Table545[[#This Row],[Difference]]+M195</f>
        <v>245482.53999999998</v>
      </c>
      <c r="N196" s="22"/>
      <c r="O196" s="18" t="s">
        <v>403</v>
      </c>
      <c r="P196" s="50" t="s">
        <v>388</v>
      </c>
      <c r="Q196" s="22" t="s">
        <v>343</v>
      </c>
    </row>
    <row r="197" spans="2:17" x14ac:dyDescent="0.2">
      <c r="B197" s="45">
        <v>202</v>
      </c>
      <c r="C197" s="24" t="s">
        <v>34</v>
      </c>
      <c r="D197" s="53" t="s">
        <v>389</v>
      </c>
      <c r="E197" s="48">
        <v>43080</v>
      </c>
      <c r="F197" s="22">
        <v>200</v>
      </c>
      <c r="G197" s="22"/>
      <c r="H197" s="49" t="e">
        <f>Table54[[#This Row],[Debit]]/Table54[[#This Row],[USD]]</f>
        <v>#DIV/0!</v>
      </c>
      <c r="I197" s="49"/>
      <c r="J197" s="22"/>
      <c r="K197" s="22">
        <v>13578</v>
      </c>
      <c r="L197" s="29">
        <f>Table545[[#This Row],[Credit]]-Table545[[#This Row],[Debit]]</f>
        <v>-13578</v>
      </c>
      <c r="M197" s="29">
        <f>Table545[[#This Row],[Difference]]+M196</f>
        <v>231904.53999999998</v>
      </c>
      <c r="N197" s="22"/>
      <c r="O197" s="18" t="s">
        <v>386</v>
      </c>
      <c r="P197" s="50" t="s">
        <v>388</v>
      </c>
      <c r="Q197" s="18" t="s">
        <v>398</v>
      </c>
    </row>
    <row r="198" spans="2:17" x14ac:dyDescent="0.2">
      <c r="B198" s="45">
        <v>203</v>
      </c>
      <c r="C198" s="24" t="s">
        <v>34</v>
      </c>
      <c r="D198" s="148" t="s">
        <v>102</v>
      </c>
      <c r="E198" s="48">
        <v>43081</v>
      </c>
      <c r="F198" s="22"/>
      <c r="G198" s="22"/>
      <c r="H198" s="49">
        <v>0</v>
      </c>
      <c r="I198" s="49"/>
      <c r="J198" s="22"/>
      <c r="K198" s="22">
        <v>38670</v>
      </c>
      <c r="L198" s="29">
        <f>Table545[[#This Row],[Credit]]-Table545[[#This Row],[Debit]]</f>
        <v>-38670</v>
      </c>
      <c r="M198" s="29">
        <f>Table545[[#This Row],[Difference]]+M197</f>
        <v>193234.53999999998</v>
      </c>
      <c r="N198" s="22"/>
      <c r="O198" s="18" t="s">
        <v>29</v>
      </c>
      <c r="P198" s="50" t="s">
        <v>103</v>
      </c>
      <c r="Q198" s="22" t="s">
        <v>343</v>
      </c>
    </row>
    <row r="199" spans="2:17" x14ac:dyDescent="0.2">
      <c r="B199" s="45">
        <v>204</v>
      </c>
      <c r="C199" s="24" t="s">
        <v>34</v>
      </c>
      <c r="D199" s="148" t="s">
        <v>390</v>
      </c>
      <c r="E199" s="48">
        <v>43082</v>
      </c>
      <c r="F199" s="22">
        <v>200</v>
      </c>
      <c r="G199" s="22"/>
      <c r="H199" s="49" t="e">
        <f>Table54[[#This Row],[Debit]]/Table54[[#This Row],[USD]]</f>
        <v>#DIV/0!</v>
      </c>
      <c r="I199" s="49"/>
      <c r="J199" s="22"/>
      <c r="K199" s="22">
        <v>13402.56</v>
      </c>
      <c r="L199" s="29">
        <f>Table545[[#This Row],[Credit]]-Table545[[#This Row],[Debit]]</f>
        <v>-13402.56</v>
      </c>
      <c r="M199" s="29">
        <f>Table545[[#This Row],[Difference]]+M198</f>
        <v>179831.97999999998</v>
      </c>
      <c r="N199" s="22"/>
      <c r="O199" s="18" t="s">
        <v>386</v>
      </c>
      <c r="P199" s="50" t="s">
        <v>388</v>
      </c>
      <c r="Q199" s="22" t="s">
        <v>343</v>
      </c>
    </row>
    <row r="200" spans="2:17" x14ac:dyDescent="0.2">
      <c r="B200" s="45">
        <v>205</v>
      </c>
      <c r="C200" s="24" t="s">
        <v>34</v>
      </c>
      <c r="D200" s="15" t="s">
        <v>391</v>
      </c>
      <c r="E200" s="48">
        <v>43083</v>
      </c>
      <c r="F200" s="22"/>
      <c r="G200" s="22"/>
      <c r="H200" s="49">
        <v>0</v>
      </c>
      <c r="I200" s="49"/>
      <c r="J200" s="22"/>
      <c r="K200" s="22">
        <v>2000</v>
      </c>
      <c r="L200" s="29">
        <f>Table545[[#This Row],[Credit]]-Table545[[#This Row],[Debit]]</f>
        <v>-2000</v>
      </c>
      <c r="M200" s="29">
        <f>Table545[[#This Row],[Difference]]+M199</f>
        <v>177831.97999999998</v>
      </c>
      <c r="N200" s="22"/>
      <c r="O200" s="22" t="s">
        <v>29</v>
      </c>
      <c r="P200" s="22" t="s">
        <v>30</v>
      </c>
      <c r="Q200" s="22"/>
    </row>
    <row r="201" spans="2:17" x14ac:dyDescent="0.2">
      <c r="B201" s="45">
        <v>206</v>
      </c>
      <c r="C201" s="24" t="s">
        <v>34</v>
      </c>
      <c r="D201" s="148" t="s">
        <v>318</v>
      </c>
      <c r="E201" s="48">
        <v>43084</v>
      </c>
      <c r="F201" s="22"/>
      <c r="G201" s="22"/>
      <c r="H201" s="49">
        <v>0</v>
      </c>
      <c r="I201" s="49"/>
      <c r="J201" s="22"/>
      <c r="K201" s="22">
        <v>2</v>
      </c>
      <c r="L201" s="29">
        <f>Table545[[#This Row],[Credit]]-Table545[[#This Row],[Debit]]</f>
        <v>-2</v>
      </c>
      <c r="M201" s="29">
        <f>Table545[[#This Row],[Difference]]+M200</f>
        <v>177829.97999999998</v>
      </c>
      <c r="N201" s="22"/>
      <c r="O201" s="18" t="s">
        <v>386</v>
      </c>
      <c r="P201" s="22" t="s">
        <v>388</v>
      </c>
      <c r="Q201" s="22" t="s">
        <v>343</v>
      </c>
    </row>
    <row r="202" spans="2:17" x14ac:dyDescent="0.2">
      <c r="B202" s="45">
        <v>207</v>
      </c>
      <c r="C202" s="24" t="s">
        <v>34</v>
      </c>
      <c r="D202" s="148" t="s">
        <v>401</v>
      </c>
      <c r="E202" s="48">
        <v>43085</v>
      </c>
      <c r="F202" s="22"/>
      <c r="G202" s="22"/>
      <c r="H202" s="49">
        <v>0</v>
      </c>
      <c r="I202" s="49"/>
      <c r="J202" s="22"/>
      <c r="K202" s="22">
        <v>1513</v>
      </c>
      <c r="L202" s="29">
        <f>Table545[[#This Row],[Credit]]-Table545[[#This Row],[Debit]]</f>
        <v>-1513</v>
      </c>
      <c r="M202" s="29">
        <f>Table545[[#This Row],[Difference]]+M201</f>
        <v>176316.97999999998</v>
      </c>
      <c r="N202" s="22"/>
      <c r="O202" s="22" t="s">
        <v>29</v>
      </c>
      <c r="P202" s="22" t="s">
        <v>30</v>
      </c>
      <c r="Q202" s="22" t="s">
        <v>343</v>
      </c>
    </row>
    <row r="203" spans="2:17" x14ac:dyDescent="0.2">
      <c r="B203" s="45">
        <v>208</v>
      </c>
      <c r="C203" s="24" t="s">
        <v>34</v>
      </c>
      <c r="D203" s="148" t="s">
        <v>399</v>
      </c>
      <c r="E203" s="48">
        <v>43087</v>
      </c>
      <c r="F203" s="22"/>
      <c r="G203" s="22"/>
      <c r="H203" s="49">
        <v>0</v>
      </c>
      <c r="I203" s="49"/>
      <c r="J203" s="22"/>
      <c r="K203" s="22">
        <v>3147</v>
      </c>
      <c r="L203" s="29">
        <f>Table545[[#This Row],[Credit]]-Table545[[#This Row],[Debit]]</f>
        <v>-3147</v>
      </c>
      <c r="M203" s="29">
        <f>Table545[[#This Row],[Difference]]+M202</f>
        <v>173169.97999999998</v>
      </c>
      <c r="N203" s="22"/>
      <c r="O203" s="22" t="s">
        <v>29</v>
      </c>
      <c r="P203" s="41" t="s">
        <v>44</v>
      </c>
      <c r="Q203" s="18" t="s">
        <v>343</v>
      </c>
    </row>
    <row r="204" spans="2:17" x14ac:dyDescent="0.2">
      <c r="B204" s="45">
        <v>209</v>
      </c>
      <c r="C204" s="24" t="s">
        <v>34</v>
      </c>
      <c r="D204" s="148" t="s">
        <v>390</v>
      </c>
      <c r="E204" s="48">
        <v>43087</v>
      </c>
      <c r="F204" s="22"/>
      <c r="G204" s="22"/>
      <c r="H204" s="49">
        <v>0</v>
      </c>
      <c r="I204" s="49"/>
      <c r="J204" s="22"/>
      <c r="K204" s="22">
        <v>21.64</v>
      </c>
      <c r="L204" s="29">
        <f>Table545[[#This Row],[Credit]]-Table545[[#This Row],[Debit]]</f>
        <v>-21.64</v>
      </c>
      <c r="M204" s="29">
        <f>Table545[[#This Row],[Difference]]+M203</f>
        <v>173148.33999999997</v>
      </c>
      <c r="N204" s="22"/>
      <c r="O204" s="22" t="s">
        <v>386</v>
      </c>
      <c r="P204" s="50" t="s">
        <v>388</v>
      </c>
      <c r="Q204" s="18" t="s">
        <v>343</v>
      </c>
    </row>
    <row r="205" spans="2:17" x14ac:dyDescent="0.2">
      <c r="B205" s="45">
        <v>210</v>
      </c>
      <c r="C205" s="24" t="s">
        <v>34</v>
      </c>
      <c r="D205" s="148" t="s">
        <v>402</v>
      </c>
      <c r="E205" s="48">
        <v>43089</v>
      </c>
      <c r="F205" s="22"/>
      <c r="G205" s="22"/>
      <c r="H205" s="49">
        <v>0</v>
      </c>
      <c r="I205" s="49"/>
      <c r="J205" s="22"/>
      <c r="K205" s="22">
        <v>66.88</v>
      </c>
      <c r="L205" s="29">
        <f>Table545[[#This Row],[Credit]]-Table545[[#This Row],[Debit]]</f>
        <v>-66.88</v>
      </c>
      <c r="M205" s="29">
        <f>Table545[[#This Row],[Difference]]+M204</f>
        <v>173081.45999999996</v>
      </c>
      <c r="N205" s="22"/>
      <c r="O205" s="22" t="s">
        <v>29</v>
      </c>
      <c r="P205" s="50" t="s">
        <v>79</v>
      </c>
      <c r="Q205" s="18" t="s">
        <v>343</v>
      </c>
    </row>
    <row r="206" spans="2:17" x14ac:dyDescent="0.2">
      <c r="B206" s="45">
        <v>211</v>
      </c>
      <c r="C206" s="24" t="s">
        <v>34</v>
      </c>
      <c r="D206" s="148" t="s">
        <v>407</v>
      </c>
      <c r="E206" s="48">
        <v>43090</v>
      </c>
      <c r="F206" s="22"/>
      <c r="G206" s="22"/>
      <c r="H206" s="49">
        <v>0</v>
      </c>
      <c r="I206" s="49"/>
      <c r="J206" s="22"/>
      <c r="K206" s="22">
        <v>733.35</v>
      </c>
      <c r="L206" s="29">
        <f>Table545[[#This Row],[Credit]]-Table545[[#This Row],[Debit]]</f>
        <v>-733.35</v>
      </c>
      <c r="M206" s="29">
        <f>Table545[[#This Row],[Difference]]+M205</f>
        <v>172348.10999999996</v>
      </c>
      <c r="N206" s="22"/>
      <c r="O206" s="22" t="s">
        <v>404</v>
      </c>
      <c r="P206" s="50" t="s">
        <v>405</v>
      </c>
      <c r="Q206" s="22" t="s">
        <v>343</v>
      </c>
    </row>
    <row r="207" spans="2:17" x14ac:dyDescent="0.2">
      <c r="B207" s="45">
        <v>212</v>
      </c>
      <c r="C207" s="24" t="s">
        <v>34</v>
      </c>
      <c r="D207" s="148" t="s">
        <v>408</v>
      </c>
      <c r="E207" s="48">
        <v>43090</v>
      </c>
      <c r="F207" s="22"/>
      <c r="G207" s="22"/>
      <c r="H207" s="49">
        <v>0</v>
      </c>
      <c r="I207" s="49"/>
      <c r="J207" s="22"/>
      <c r="K207" s="22">
        <v>360</v>
      </c>
      <c r="L207" s="29">
        <f>Table545[[#This Row],[Credit]]-Table545[[#This Row],[Debit]]</f>
        <v>-360</v>
      </c>
      <c r="M207" s="29">
        <f>Table545[[#This Row],[Difference]]+M206</f>
        <v>171988.10999999996</v>
      </c>
      <c r="N207" s="22"/>
      <c r="O207" s="22" t="s">
        <v>29</v>
      </c>
      <c r="P207" s="50" t="s">
        <v>112</v>
      </c>
      <c r="Q207" s="192"/>
    </row>
    <row r="208" spans="2:17" x14ac:dyDescent="0.2">
      <c r="B208" s="45">
        <v>213</v>
      </c>
      <c r="C208" s="24" t="s">
        <v>34</v>
      </c>
      <c r="D208" s="148" t="s">
        <v>318</v>
      </c>
      <c r="E208" s="48">
        <v>43090</v>
      </c>
      <c r="F208" s="22"/>
      <c r="G208" s="22"/>
      <c r="H208" s="49">
        <v>0</v>
      </c>
      <c r="I208" s="49"/>
      <c r="J208" s="22"/>
      <c r="K208" s="22">
        <v>25000</v>
      </c>
      <c r="L208" s="29">
        <f>Table545[[#This Row],[Credit]]-Table545[[#This Row],[Debit]]</f>
        <v>-25000</v>
      </c>
      <c r="M208" s="29">
        <f>Table545[[#This Row],[Difference]]+M207</f>
        <v>146988.10999999996</v>
      </c>
      <c r="N208" s="22"/>
      <c r="O208" s="22" t="s">
        <v>386</v>
      </c>
      <c r="P208" s="50" t="s">
        <v>388</v>
      </c>
      <c r="Q208" s="192"/>
    </row>
    <row r="209" spans="2:17" x14ac:dyDescent="0.2">
      <c r="B209" s="54">
        <v>214</v>
      </c>
      <c r="C209" s="24" t="s">
        <v>34</v>
      </c>
      <c r="D209" s="148" t="s">
        <v>410</v>
      </c>
      <c r="E209" s="48">
        <v>43091</v>
      </c>
      <c r="F209" s="22"/>
      <c r="G209" s="22"/>
      <c r="H209" s="49">
        <v>0</v>
      </c>
      <c r="I209" s="49"/>
      <c r="J209" s="152">
        <v>5000</v>
      </c>
      <c r="K209" s="22"/>
      <c r="L209" s="29">
        <f>Table545[[#This Row],[Credit]]-Table545[[#This Row],[Debit]]</f>
        <v>5000</v>
      </c>
      <c r="M209" s="29">
        <f>Table545[[#This Row],[Difference]]+M208</f>
        <v>151988.10999999996</v>
      </c>
      <c r="N209" s="22"/>
      <c r="O209" s="22" t="s">
        <v>411</v>
      </c>
      <c r="P209" s="50" t="s">
        <v>38</v>
      </c>
      <c r="Q209" s="22"/>
    </row>
    <row r="210" spans="2:17" x14ac:dyDescent="0.2">
      <c r="B210" s="45">
        <v>216</v>
      </c>
      <c r="C210" s="24" t="s">
        <v>34</v>
      </c>
      <c r="D210" s="53" t="s">
        <v>117</v>
      </c>
      <c r="E210" s="48">
        <v>43091</v>
      </c>
      <c r="F210" s="22"/>
      <c r="G210" s="22"/>
      <c r="H210" s="49">
        <v>0</v>
      </c>
      <c r="I210" s="49"/>
      <c r="J210" s="146"/>
      <c r="K210" s="22">
        <v>29.5</v>
      </c>
      <c r="L210" s="29">
        <f>Table545[[#This Row],[Credit]]-Table545[[#This Row],[Debit]]</f>
        <v>-29.5</v>
      </c>
      <c r="M210" s="29">
        <f>Table545[[#This Row],[Difference]]+M209</f>
        <v>151958.60999999996</v>
      </c>
      <c r="N210" s="22"/>
      <c r="O210" s="22" t="s">
        <v>81</v>
      </c>
      <c r="P210" s="51" t="s">
        <v>82</v>
      </c>
      <c r="Q210" s="22" t="s">
        <v>343</v>
      </c>
    </row>
    <row r="211" spans="2:17" x14ac:dyDescent="0.2">
      <c r="B211" s="45">
        <v>217</v>
      </c>
      <c r="C211" s="24" t="s">
        <v>34</v>
      </c>
      <c r="D211" s="148" t="s">
        <v>409</v>
      </c>
      <c r="E211" s="48">
        <v>43095</v>
      </c>
      <c r="F211" s="22"/>
      <c r="G211" s="22"/>
      <c r="H211" s="49">
        <v>0</v>
      </c>
      <c r="I211" s="49"/>
      <c r="J211" s="22"/>
      <c r="K211" s="22">
        <v>1517</v>
      </c>
      <c r="L211" s="29">
        <f>Table545[[#This Row],[Credit]]-Table545[[#This Row],[Debit]]</f>
        <v>-1517</v>
      </c>
      <c r="M211" s="29">
        <f>Table545[[#This Row],[Difference]]+M210</f>
        <v>150441.60999999996</v>
      </c>
      <c r="N211" s="22"/>
      <c r="O211" s="22" t="s">
        <v>29</v>
      </c>
      <c r="P211" s="22" t="s">
        <v>30</v>
      </c>
      <c r="Q211" s="22" t="s">
        <v>343</v>
      </c>
    </row>
    <row r="212" spans="2:17" x14ac:dyDescent="0.2">
      <c r="B212" s="45">
        <v>218</v>
      </c>
      <c r="C212" s="24" t="s">
        <v>34</v>
      </c>
      <c r="D212" s="148" t="s">
        <v>101</v>
      </c>
      <c r="E212" s="48">
        <v>43095</v>
      </c>
      <c r="F212" s="22"/>
      <c r="G212" s="22"/>
      <c r="H212" s="49">
        <v>0</v>
      </c>
      <c r="I212" s="49"/>
      <c r="J212" s="22"/>
      <c r="K212" s="22">
        <v>16950</v>
      </c>
      <c r="L212" s="29">
        <f>Table545[[#This Row],[Credit]]-Table545[[#This Row],[Debit]]</f>
        <v>-16950</v>
      </c>
      <c r="M212" s="29">
        <f>Table545[[#This Row],[Difference]]+M211</f>
        <v>133491.60999999996</v>
      </c>
      <c r="N212" s="22"/>
      <c r="O212" s="22" t="s">
        <v>29</v>
      </c>
      <c r="P212" s="50" t="s">
        <v>299</v>
      </c>
      <c r="Q212" s="22" t="s">
        <v>343</v>
      </c>
    </row>
    <row r="213" spans="2:17" x14ac:dyDescent="0.2">
      <c r="B213" s="45">
        <v>219</v>
      </c>
      <c r="C213" s="24" t="s">
        <v>34</v>
      </c>
      <c r="D213" s="148" t="s">
        <v>415</v>
      </c>
      <c r="E213" s="48">
        <v>43095</v>
      </c>
      <c r="F213" s="22"/>
      <c r="G213" s="22"/>
      <c r="H213" s="49">
        <v>0</v>
      </c>
      <c r="I213" s="49"/>
      <c r="J213" s="22"/>
      <c r="K213" s="22">
        <v>280</v>
      </c>
      <c r="L213" s="29">
        <f>Table545[[#This Row],[Credit]]-Table545[[#This Row],[Debit]]</f>
        <v>-280</v>
      </c>
      <c r="M213" s="29">
        <f>Table545[[#This Row],[Difference]]+M212</f>
        <v>133211.60999999996</v>
      </c>
      <c r="N213" s="22"/>
      <c r="O213" s="22" t="s">
        <v>29</v>
      </c>
      <c r="P213" s="50" t="s">
        <v>112</v>
      </c>
      <c r="Q213" s="22" t="s">
        <v>343</v>
      </c>
    </row>
    <row r="214" spans="2:17" x14ac:dyDescent="0.2">
      <c r="B214" s="45">
        <v>220</v>
      </c>
      <c r="C214" s="24" t="s">
        <v>34</v>
      </c>
      <c r="D214" s="53" t="s">
        <v>414</v>
      </c>
      <c r="E214" s="48">
        <v>43096</v>
      </c>
      <c r="F214" s="22"/>
      <c r="G214" s="22"/>
      <c r="H214" s="49">
        <v>0</v>
      </c>
      <c r="I214" s="49"/>
      <c r="J214" s="22"/>
      <c r="K214" s="22">
        <v>749</v>
      </c>
      <c r="L214" s="29">
        <f>Table545[[#This Row],[Credit]]-Table545[[#This Row],[Debit]]</f>
        <v>-749</v>
      </c>
      <c r="M214" s="29">
        <f>Table545[[#This Row],[Difference]]+M213</f>
        <v>132462.60999999996</v>
      </c>
      <c r="N214" s="22"/>
      <c r="O214" s="22" t="s">
        <v>29</v>
      </c>
      <c r="P214" s="51" t="s">
        <v>30</v>
      </c>
      <c r="Q214" s="22" t="s">
        <v>343</v>
      </c>
    </row>
    <row r="215" spans="2:17" ht="12.75" thickBot="1" x14ac:dyDescent="0.25">
      <c r="B215" s="216"/>
      <c r="C215" s="217"/>
      <c r="D215" s="218"/>
      <c r="E215" s="219"/>
      <c r="F215" s="220"/>
      <c r="G215" s="220"/>
      <c r="H215" s="220"/>
      <c r="I215" s="220"/>
      <c r="J215" s="220">
        <f>SUBTOTAL(109,Table545[Credit])</f>
        <v>2215043.42</v>
      </c>
      <c r="K215" s="220">
        <f>SUBTOTAL(109,Table545[Debit])</f>
        <v>2082580.8100000003</v>
      </c>
      <c r="L215" s="220">
        <f>SUBTOTAL(109,Table545[Difference])</f>
        <v>132462.60999999996</v>
      </c>
      <c r="M215" s="220"/>
      <c r="N215" s="220"/>
      <c r="O215" s="220"/>
      <c r="P215" s="218"/>
      <c r="Q215" s="221"/>
    </row>
    <row r="216" spans="2:17" x14ac:dyDescent="0.2">
      <c r="B216" s="1"/>
      <c r="K216" s="1" t="s">
        <v>163</v>
      </c>
      <c r="L216" s="32">
        <v>131891.26999999999</v>
      </c>
    </row>
    <row r="217" spans="2:17" x14ac:dyDescent="0.2">
      <c r="K217" s="1" t="s">
        <v>16</v>
      </c>
      <c r="L217" s="32">
        <f>Table545[[#Totals],[Difference]]-L216</f>
        <v>571.3399999999674</v>
      </c>
    </row>
    <row r="218" spans="2:17" x14ac:dyDescent="0.2">
      <c r="L218" s="32">
        <f>L216/65</f>
        <v>2029.0964615384614</v>
      </c>
    </row>
    <row r="220" spans="2:17" x14ac:dyDescent="0.2">
      <c r="K220" s="32"/>
    </row>
  </sheetData>
  <mergeCells count="1">
    <mergeCell ref="I4:M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9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206" sqref="R206"/>
    </sheetView>
  </sheetViews>
  <sheetFormatPr defaultColWidth="9" defaultRowHeight="12" x14ac:dyDescent="0.2"/>
  <cols>
    <col min="1" max="1" width="5.7109375" style="1" bestFit="1" customWidth="1"/>
    <col min="2" max="2" width="1.85546875" style="2" customWidth="1"/>
    <col min="3" max="3" width="8" style="3" bestFit="1" customWidth="1"/>
    <col min="4" max="4" width="8.42578125" style="1" customWidth="1"/>
    <col min="5" max="5" width="41.140625" style="1" customWidth="1"/>
    <col min="6" max="6" width="16.28515625" style="1" bestFit="1" customWidth="1"/>
    <col min="7" max="8" width="11.7109375" style="1" customWidth="1"/>
    <col min="9" max="9" width="10.85546875" style="1" customWidth="1"/>
    <col min="10" max="10" width="12.85546875" style="1" customWidth="1"/>
    <col min="11" max="12" width="15" style="1" bestFit="1" customWidth="1"/>
    <col min="13" max="13" width="12.85546875" style="1" bestFit="1" customWidth="1"/>
    <col min="14" max="14" width="11.28515625" style="1" bestFit="1" customWidth="1"/>
    <col min="15" max="15" width="9.42578125" style="1" bestFit="1" customWidth="1"/>
    <col min="16" max="16" width="16.28515625" style="1" bestFit="1" customWidth="1"/>
    <col min="17" max="17" width="15.5703125" style="1" bestFit="1" customWidth="1"/>
    <col min="18" max="18" width="18" style="1" bestFit="1" customWidth="1"/>
    <col min="19" max="19" width="8" style="1" bestFit="1" customWidth="1"/>
    <col min="20" max="20" width="5.28515625" style="2" bestFit="1" customWidth="1"/>
    <col min="21" max="21" width="8.7109375" style="1" bestFit="1" customWidth="1"/>
    <col min="22" max="22" width="10.28515625" style="1" bestFit="1" customWidth="1"/>
    <col min="23" max="23" width="22.140625" style="1" bestFit="1" customWidth="1"/>
    <col min="24" max="24" width="9" style="1"/>
    <col min="25" max="25" width="4.140625" style="1" bestFit="1" customWidth="1"/>
    <col min="26" max="16384" width="9" style="1"/>
  </cols>
  <sheetData>
    <row r="1" spans="1:25" x14ac:dyDescent="0.2">
      <c r="C1" s="3" t="s">
        <v>0</v>
      </c>
      <c r="D1" s="1" t="s">
        <v>1</v>
      </c>
      <c r="E1" s="4"/>
      <c r="Y1" s="1" t="s">
        <v>335</v>
      </c>
    </row>
    <row r="2" spans="1:25" x14ac:dyDescent="0.2">
      <c r="D2" s="1" t="s">
        <v>2</v>
      </c>
      <c r="E2" s="5"/>
      <c r="Y2" s="1" t="s">
        <v>337</v>
      </c>
    </row>
    <row r="3" spans="1:25" ht="12.75" thickBot="1" x14ac:dyDescent="0.25">
      <c r="D3" s="1" t="s">
        <v>3</v>
      </c>
      <c r="E3" s="6"/>
      <c r="Y3" s="1" t="s">
        <v>338</v>
      </c>
    </row>
    <row r="4" spans="1:25" x14ac:dyDescent="0.2">
      <c r="J4" s="249" t="s">
        <v>4</v>
      </c>
      <c r="K4" s="250"/>
      <c r="L4" s="250"/>
      <c r="M4" s="250"/>
      <c r="N4" s="251"/>
    </row>
    <row r="5" spans="1:25" ht="24" x14ac:dyDescent="0.2">
      <c r="A5" s="7" t="s">
        <v>5</v>
      </c>
      <c r="B5" s="8"/>
      <c r="C5" s="9" t="s">
        <v>6</v>
      </c>
      <c r="D5" s="9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1" t="s">
        <v>13</v>
      </c>
      <c r="K5" s="10" t="s">
        <v>14</v>
      </c>
      <c r="L5" s="10" t="s">
        <v>15</v>
      </c>
      <c r="M5" s="10" t="s">
        <v>16</v>
      </c>
      <c r="N5" s="12" t="s">
        <v>17</v>
      </c>
      <c r="O5" s="10" t="s">
        <v>18</v>
      </c>
      <c r="P5" s="10" t="s">
        <v>19</v>
      </c>
      <c r="Q5" s="10" t="s">
        <v>20</v>
      </c>
      <c r="R5" s="13" t="s">
        <v>21</v>
      </c>
      <c r="S5" s="13" t="s">
        <v>336</v>
      </c>
      <c r="T5" s="194" t="s">
        <v>334</v>
      </c>
    </row>
    <row r="6" spans="1:25" hidden="1" x14ac:dyDescent="0.2">
      <c r="A6" s="14" t="s">
        <v>22</v>
      </c>
      <c r="B6" s="15"/>
      <c r="C6" s="16">
        <v>1</v>
      </c>
      <c r="D6" s="16" t="s">
        <v>23</v>
      </c>
      <c r="E6" s="10" t="s">
        <v>24</v>
      </c>
      <c r="F6" s="17">
        <v>42536</v>
      </c>
      <c r="G6" s="18">
        <v>240</v>
      </c>
      <c r="H6" s="18">
        <f>Table54[[#This Row],[USD]]/1.0857</f>
        <v>221.05554020447636</v>
      </c>
      <c r="I6" s="18">
        <v>64.900000000000006</v>
      </c>
      <c r="J6" s="18"/>
      <c r="K6" s="18">
        <f>Table54[[#This Row],[Euro]]*Table54[[#This Row],[Con. Rate]]</f>
        <v>14346.504559270517</v>
      </c>
      <c r="L6" s="18">
        <v>14346.5</v>
      </c>
      <c r="M6" s="18">
        <f>Table54[[#This Row],[Credit]]-Table54[[#This Row],[Debit]]</f>
        <v>4.5592705173476133E-3</v>
      </c>
      <c r="N6" s="18">
        <f>Table54[[#This Row],[Difference]]</f>
        <v>4.5592705173476133E-3</v>
      </c>
      <c r="O6" s="18"/>
      <c r="P6" s="18" t="s">
        <v>25</v>
      </c>
      <c r="Q6" s="18" t="s">
        <v>26</v>
      </c>
      <c r="R6" s="19"/>
      <c r="S6" s="19"/>
      <c r="T6" s="193"/>
      <c r="U6" s="1" t="s">
        <v>27</v>
      </c>
      <c r="V6" s="1">
        <f>55096+10000+70071</f>
        <v>135167</v>
      </c>
    </row>
    <row r="7" spans="1:25" hidden="1" x14ac:dyDescent="0.2">
      <c r="A7" s="14" t="s">
        <v>22</v>
      </c>
      <c r="B7" s="15"/>
      <c r="C7" s="16">
        <v>2</v>
      </c>
      <c r="D7" s="16" t="s">
        <v>23</v>
      </c>
      <c r="E7" s="10" t="s">
        <v>28</v>
      </c>
      <c r="F7" s="17">
        <v>42661</v>
      </c>
      <c r="G7" s="18"/>
      <c r="H7" s="18"/>
      <c r="I7" s="20">
        <v>0</v>
      </c>
      <c r="J7" s="20"/>
      <c r="K7" s="18"/>
      <c r="L7" s="21">
        <v>1200</v>
      </c>
      <c r="M7" s="18">
        <f>Table54[[#This Row],[Credit]]-Table54[[#This Row],[Debit]]</f>
        <v>-1200</v>
      </c>
      <c r="N7" s="18">
        <f>N6+Table54[[#This Row],[Difference]]</f>
        <v>-1199.9954407294827</v>
      </c>
      <c r="O7" s="18"/>
      <c r="P7" s="18" t="s">
        <v>29</v>
      </c>
      <c r="Q7" s="18" t="s">
        <v>30</v>
      </c>
      <c r="R7" s="22"/>
      <c r="S7" s="22"/>
      <c r="T7" s="193"/>
    </row>
    <row r="8" spans="1:25" hidden="1" x14ac:dyDescent="0.2">
      <c r="A8" s="14" t="s">
        <v>22</v>
      </c>
      <c r="B8" s="15"/>
      <c r="C8" s="16">
        <v>3</v>
      </c>
      <c r="D8" s="16" t="s">
        <v>23</v>
      </c>
      <c r="E8" s="10" t="s">
        <v>31</v>
      </c>
      <c r="F8" s="17">
        <v>42709</v>
      </c>
      <c r="G8" s="18"/>
      <c r="H8" s="18"/>
      <c r="I8" s="20">
        <v>0</v>
      </c>
      <c r="J8" s="20"/>
      <c r="K8" s="18"/>
      <c r="L8" s="21">
        <f>3900+1500</f>
        <v>5400</v>
      </c>
      <c r="M8" s="18">
        <f>Table54[[#This Row],[Credit]]-Table54[[#This Row],[Debit]]</f>
        <v>-5400</v>
      </c>
      <c r="N8" s="18">
        <f>N7+Table54[[#This Row],[Difference]]</f>
        <v>-6599.9954407294827</v>
      </c>
      <c r="O8" s="18"/>
      <c r="P8" s="18" t="s">
        <v>29</v>
      </c>
      <c r="Q8" s="18" t="s">
        <v>30</v>
      </c>
      <c r="R8" s="22"/>
      <c r="S8" s="22"/>
      <c r="T8" s="193" t="s">
        <v>342</v>
      </c>
      <c r="U8" s="1" t="s">
        <v>32</v>
      </c>
      <c r="V8" s="1">
        <v>6600</v>
      </c>
      <c r="W8" s="1" t="s">
        <v>33</v>
      </c>
    </row>
    <row r="9" spans="1:25" hidden="1" x14ac:dyDescent="0.2">
      <c r="A9" s="23" t="s">
        <v>34</v>
      </c>
      <c r="B9" s="15"/>
      <c r="C9" s="24">
        <v>4</v>
      </c>
      <c r="D9" s="24" t="s">
        <v>34</v>
      </c>
      <c r="E9" s="10" t="s">
        <v>35</v>
      </c>
      <c r="F9" s="17">
        <v>42774</v>
      </c>
      <c r="G9" s="18">
        <v>208</v>
      </c>
      <c r="H9" s="18">
        <f>Table54[[#This Row],[USD]]/1.0857</f>
        <v>191.58146817721283</v>
      </c>
      <c r="I9" s="18">
        <f>Table54[[#This Row],[Credit]]/Table54[[#This Row],[USD]]</f>
        <v>64.899038461538467</v>
      </c>
      <c r="J9" s="18"/>
      <c r="K9" s="18">
        <v>13499</v>
      </c>
      <c r="L9" s="18">
        <v>13499</v>
      </c>
      <c r="M9" s="18">
        <f>Table54[[#This Row],[Credit]]-Table54[[#This Row],[Debit]]</f>
        <v>0</v>
      </c>
      <c r="N9" s="18">
        <f>N8+Table54[[#This Row],[Difference]]</f>
        <v>-6599.9954407294827</v>
      </c>
      <c r="O9" s="18"/>
      <c r="P9" s="18" t="s">
        <v>25</v>
      </c>
      <c r="Q9" s="18" t="s">
        <v>26</v>
      </c>
      <c r="R9" s="22"/>
      <c r="S9" s="22"/>
      <c r="T9" s="193"/>
      <c r="V9" s="1">
        <v>34500</v>
      </c>
      <c r="W9" s="1" t="s">
        <v>36</v>
      </c>
    </row>
    <row r="10" spans="1:25" hidden="1" x14ac:dyDescent="0.2">
      <c r="A10" s="23" t="s">
        <v>34</v>
      </c>
      <c r="B10" s="15"/>
      <c r="C10" s="24">
        <v>5</v>
      </c>
      <c r="D10" s="24" t="s">
        <v>34</v>
      </c>
      <c r="E10" s="10" t="s">
        <v>37</v>
      </c>
      <c r="F10" s="17">
        <v>42795</v>
      </c>
      <c r="G10" s="18"/>
      <c r="H10" s="18"/>
      <c r="I10" s="18"/>
      <c r="J10" s="18"/>
      <c r="K10" s="18"/>
      <c r="L10" s="18">
        <v>34500</v>
      </c>
      <c r="M10" s="18">
        <f>Table54[[#This Row],[Credit]]-Table54[[#This Row],[Debit]]</f>
        <v>-34500</v>
      </c>
      <c r="N10" s="18">
        <f>N9+Table54[[#This Row],[Difference]]</f>
        <v>-41099.995440729486</v>
      </c>
      <c r="O10" s="18"/>
      <c r="P10" s="18" t="s">
        <v>29</v>
      </c>
      <c r="Q10" s="18" t="s">
        <v>38</v>
      </c>
      <c r="R10" s="22"/>
      <c r="S10" s="22"/>
      <c r="T10" s="193"/>
      <c r="V10" s="1">
        <v>5175</v>
      </c>
      <c r="W10" s="1" t="s">
        <v>39</v>
      </c>
    </row>
    <row r="11" spans="1:25" hidden="1" x14ac:dyDescent="0.2">
      <c r="A11" s="23" t="s">
        <v>34</v>
      </c>
      <c r="B11" s="15"/>
      <c r="C11" s="24">
        <v>6</v>
      </c>
      <c r="D11" s="24" t="s">
        <v>34</v>
      </c>
      <c r="E11" s="10" t="s">
        <v>40</v>
      </c>
      <c r="F11" s="17">
        <v>42814</v>
      </c>
      <c r="G11" s="18"/>
      <c r="H11" s="18"/>
      <c r="I11" s="20">
        <v>0</v>
      </c>
      <c r="J11" s="20"/>
      <c r="K11" s="18">
        <v>70</v>
      </c>
      <c r="L11" s="18">
        <v>70</v>
      </c>
      <c r="M11" s="18">
        <f>Table54[[#This Row],[Credit]]-Table54[[#This Row],[Debit]]</f>
        <v>0</v>
      </c>
      <c r="N11" s="18">
        <f>N10+Table54[[#This Row],[Difference]]</f>
        <v>-41099.995440729486</v>
      </c>
      <c r="O11" s="18"/>
      <c r="P11" s="18" t="s">
        <v>29</v>
      </c>
      <c r="Q11" s="18" t="s">
        <v>41</v>
      </c>
      <c r="R11" s="22"/>
      <c r="S11" s="22"/>
      <c r="T11" s="193"/>
      <c r="V11" s="1">
        <v>4900</v>
      </c>
      <c r="W11" s="1" t="s">
        <v>42</v>
      </c>
    </row>
    <row r="12" spans="1:25" hidden="1" x14ac:dyDescent="0.2">
      <c r="A12" s="23" t="s">
        <v>34</v>
      </c>
      <c r="B12" s="15"/>
      <c r="C12" s="24">
        <v>7</v>
      </c>
      <c r="D12" s="24" t="s">
        <v>34</v>
      </c>
      <c r="E12" s="10" t="s">
        <v>43</v>
      </c>
      <c r="F12" s="17">
        <v>42816</v>
      </c>
      <c r="G12" s="18"/>
      <c r="H12" s="18"/>
      <c r="I12" s="20">
        <v>0</v>
      </c>
      <c r="J12" s="20"/>
      <c r="K12" s="18"/>
      <c r="L12" s="18">
        <v>5175</v>
      </c>
      <c r="M12" s="18">
        <f>Table54[[#This Row],[Credit]]-Table54[[#This Row],[Debit]]</f>
        <v>-5175</v>
      </c>
      <c r="N12" s="18">
        <f>N11+Table54[[#This Row],[Difference]]</f>
        <v>-46274.995440729486</v>
      </c>
      <c r="O12" s="18"/>
      <c r="P12" s="18" t="s">
        <v>29</v>
      </c>
      <c r="Q12" s="18" t="s">
        <v>44</v>
      </c>
      <c r="R12" s="22"/>
      <c r="S12" s="22"/>
      <c r="T12" s="193"/>
      <c r="V12" s="1">
        <v>23041</v>
      </c>
      <c r="W12" s="1" t="s">
        <v>45</v>
      </c>
    </row>
    <row r="13" spans="1:25" hidden="1" x14ac:dyDescent="0.2">
      <c r="A13" s="23" t="s">
        <v>34</v>
      </c>
      <c r="B13" s="15"/>
      <c r="C13" s="24">
        <v>8</v>
      </c>
      <c r="D13" s="24" t="s">
        <v>34</v>
      </c>
      <c r="E13" s="148" t="s">
        <v>315</v>
      </c>
      <c r="F13" s="17">
        <v>42817</v>
      </c>
      <c r="G13" s="18">
        <f>Table54[[#This Row],[Euro]]*1.0857</f>
        <v>868.56000000000006</v>
      </c>
      <c r="H13" s="18">
        <v>800</v>
      </c>
      <c r="I13" s="20">
        <v>68.87</v>
      </c>
      <c r="J13" s="20"/>
      <c r="K13" s="25">
        <f>Table54[[#This Row],[Euro]]*Table54[[#This Row],[Con. Rate]]</f>
        <v>55096</v>
      </c>
      <c r="L13" s="18"/>
      <c r="M13" s="18">
        <f>Table54[[#This Row],[Credit]]-Table54[[#This Row],[Debit]]</f>
        <v>55096</v>
      </c>
      <c r="N13" s="18">
        <f>N12+Table54[[#This Row],[Difference]]</f>
        <v>8821.0045592705137</v>
      </c>
      <c r="O13" s="18"/>
      <c r="P13" s="18" t="s">
        <v>47</v>
      </c>
      <c r="Q13" s="18" t="s">
        <v>48</v>
      </c>
      <c r="R13" s="18" t="s">
        <v>343</v>
      </c>
      <c r="S13" s="22" t="s">
        <v>375</v>
      </c>
      <c r="T13" s="193"/>
      <c r="V13" s="1">
        <v>4810</v>
      </c>
      <c r="W13" s="1" t="s">
        <v>49</v>
      </c>
    </row>
    <row r="14" spans="1:25" hidden="1" x14ac:dyDescent="0.2">
      <c r="A14" s="23" t="s">
        <v>34</v>
      </c>
      <c r="B14" s="15"/>
      <c r="C14" s="24">
        <v>9</v>
      </c>
      <c r="D14" s="24" t="s">
        <v>34</v>
      </c>
      <c r="E14" s="10" t="s">
        <v>50</v>
      </c>
      <c r="F14" s="17">
        <v>42817</v>
      </c>
      <c r="G14" s="18"/>
      <c r="H14" s="18"/>
      <c r="I14" s="20">
        <v>0</v>
      </c>
      <c r="J14" s="20"/>
      <c r="K14" s="18">
        <v>30</v>
      </c>
      <c r="L14" s="18">
        <v>30</v>
      </c>
      <c r="M14" s="18">
        <f>Table54[[#This Row],[Credit]]-Table54[[#This Row],[Debit]]</f>
        <v>0</v>
      </c>
      <c r="N14" s="18">
        <f>N13+Table54[[#This Row],[Difference]]</f>
        <v>8821.0045592705137</v>
      </c>
      <c r="O14" s="18"/>
      <c r="P14" s="18" t="s">
        <v>25</v>
      </c>
      <c r="Q14" s="18" t="s">
        <v>41</v>
      </c>
      <c r="R14" s="22"/>
      <c r="S14" s="22"/>
      <c r="T14" s="193"/>
      <c r="V14" s="1">
        <v>1300</v>
      </c>
      <c r="W14" s="1" t="s">
        <v>51</v>
      </c>
    </row>
    <row r="15" spans="1:25" hidden="1" x14ac:dyDescent="0.2">
      <c r="A15" s="23" t="s">
        <v>34</v>
      </c>
      <c r="B15" s="15"/>
      <c r="C15" s="24">
        <v>10</v>
      </c>
      <c r="D15" s="24" t="s">
        <v>34</v>
      </c>
      <c r="E15" s="10" t="s">
        <v>52</v>
      </c>
      <c r="F15" s="17">
        <v>42817</v>
      </c>
      <c r="G15" s="18"/>
      <c r="H15" s="18"/>
      <c r="I15" s="20">
        <v>0</v>
      </c>
      <c r="J15" s="20"/>
      <c r="K15" s="18">
        <v>1093</v>
      </c>
      <c r="L15" s="18">
        <v>1093</v>
      </c>
      <c r="M15" s="18">
        <f>Table54[[#This Row],[Credit]]-Table54[[#This Row],[Debit]]</f>
        <v>0</v>
      </c>
      <c r="N15" s="18">
        <f>N14+Table54[[#This Row],[Difference]]</f>
        <v>8821.0045592705137</v>
      </c>
      <c r="O15" s="18"/>
      <c r="P15" s="18" t="s">
        <v>25</v>
      </c>
      <c r="Q15" s="18" t="s">
        <v>41</v>
      </c>
      <c r="R15" s="22"/>
      <c r="S15" s="22"/>
      <c r="T15" s="193"/>
      <c r="V15" s="1">
        <v>5000</v>
      </c>
      <c r="W15" s="1" t="s">
        <v>53</v>
      </c>
    </row>
    <row r="16" spans="1:25" hidden="1" x14ac:dyDescent="0.2">
      <c r="A16" s="23" t="s">
        <v>34</v>
      </c>
      <c r="B16" s="15"/>
      <c r="C16" s="24">
        <v>11</v>
      </c>
      <c r="D16" s="24" t="s">
        <v>34</v>
      </c>
      <c r="E16" s="10" t="s">
        <v>54</v>
      </c>
      <c r="F16" s="26">
        <v>42818</v>
      </c>
      <c r="G16" s="18">
        <f>Table54[[#This Row],[Euro]]*1.0857</f>
        <v>1411.41</v>
      </c>
      <c r="H16" s="18">
        <v>1300</v>
      </c>
      <c r="I16" s="27">
        <f>89147.25/H16</f>
        <v>68.574807692307687</v>
      </c>
      <c r="J16" s="27">
        <f>35+(766.22/Table54[[#This Row],[Con. Rate]])</f>
        <v>46.173491049920216</v>
      </c>
      <c r="K16" s="28">
        <f>89147.25-766.22</f>
        <v>88381.03</v>
      </c>
      <c r="L16" s="18">
        <f>Table54[[#This Row],[Credit]]</f>
        <v>88381.03</v>
      </c>
      <c r="M16" s="18">
        <f>Table54[[#This Row],[Credit]]-Table54[[#This Row],[Debit]]</f>
        <v>0</v>
      </c>
      <c r="N16" s="18">
        <f>N15+Table54[[#This Row],[Difference]]</f>
        <v>8821.0045592705137</v>
      </c>
      <c r="O16" s="18"/>
      <c r="P16" s="18" t="s">
        <v>25</v>
      </c>
      <c r="Q16" s="18" t="s">
        <v>38</v>
      </c>
      <c r="R16" s="22"/>
      <c r="S16" s="22"/>
      <c r="T16" s="193"/>
      <c r="V16" s="1">
        <v>3371</v>
      </c>
      <c r="W16" s="1" t="s">
        <v>55</v>
      </c>
    </row>
    <row r="17" spans="1:23" hidden="1" x14ac:dyDescent="0.2">
      <c r="A17" s="14" t="s">
        <v>22</v>
      </c>
      <c r="B17" s="15"/>
      <c r="C17" s="16">
        <v>12</v>
      </c>
      <c r="D17" s="16" t="s">
        <v>23</v>
      </c>
      <c r="E17" s="10" t="s">
        <v>56</v>
      </c>
      <c r="F17" s="17">
        <v>42818</v>
      </c>
      <c r="G17" s="18"/>
      <c r="H17" s="18"/>
      <c r="I17" s="20">
        <v>0</v>
      </c>
      <c r="J17" s="20"/>
      <c r="K17" s="25">
        <v>10000</v>
      </c>
      <c r="L17" s="18"/>
      <c r="M17" s="18">
        <f>Table54[[#This Row],[Credit]]-Table54[[#This Row],[Debit]]</f>
        <v>10000</v>
      </c>
      <c r="N17" s="18">
        <f>N16+Table54[[#This Row],[Difference]]</f>
        <v>18821.004559270514</v>
      </c>
      <c r="O17" s="29"/>
      <c r="P17" s="18" t="s">
        <v>57</v>
      </c>
      <c r="Q17" s="18" t="s">
        <v>48</v>
      </c>
      <c r="R17" s="18" t="s">
        <v>341</v>
      </c>
      <c r="S17" s="22"/>
      <c r="T17" s="193"/>
      <c r="V17" s="1">
        <v>3000</v>
      </c>
      <c r="W17" s="1" t="s">
        <v>58</v>
      </c>
    </row>
    <row r="18" spans="1:23" hidden="1" x14ac:dyDescent="0.2">
      <c r="A18" s="23" t="s">
        <v>34</v>
      </c>
      <c r="B18" s="15"/>
      <c r="C18" s="24">
        <v>13</v>
      </c>
      <c r="D18" s="24" t="s">
        <v>34</v>
      </c>
      <c r="E18" s="10" t="s">
        <v>59</v>
      </c>
      <c r="F18" s="17">
        <v>42818</v>
      </c>
      <c r="G18" s="18"/>
      <c r="H18" s="18"/>
      <c r="I18" s="20">
        <v>0</v>
      </c>
      <c r="J18" s="20"/>
      <c r="K18" s="18"/>
      <c r="L18" s="30">
        <v>2000</v>
      </c>
      <c r="M18" s="30">
        <f>Table54[[#This Row],[Credit]]-Table54[[#This Row],[Debit]]</f>
        <v>-2000</v>
      </c>
      <c r="N18" s="30">
        <f>N17+Table54[[#This Row],[Difference]]</f>
        <v>16821.004559270514</v>
      </c>
      <c r="O18" s="30">
        <v>4900</v>
      </c>
      <c r="P18" s="30" t="s">
        <v>29</v>
      </c>
      <c r="Q18" s="30" t="s">
        <v>30</v>
      </c>
      <c r="R18" s="22"/>
      <c r="S18" s="22"/>
      <c r="T18" s="193"/>
      <c r="V18" s="1">
        <v>1490</v>
      </c>
      <c r="W18" s="1" t="s">
        <v>60</v>
      </c>
    </row>
    <row r="19" spans="1:23" hidden="1" x14ac:dyDescent="0.2">
      <c r="A19" s="23" t="s">
        <v>34</v>
      </c>
      <c r="B19" s="15"/>
      <c r="C19" s="24">
        <v>14</v>
      </c>
      <c r="D19" s="24" t="s">
        <v>34</v>
      </c>
      <c r="E19" s="10" t="s">
        <v>61</v>
      </c>
      <c r="F19" s="17">
        <v>42818</v>
      </c>
      <c r="G19" s="18"/>
      <c r="H19" s="18"/>
      <c r="I19" s="20">
        <v>0</v>
      </c>
      <c r="J19" s="20"/>
      <c r="K19" s="18"/>
      <c r="L19" s="18">
        <v>23041</v>
      </c>
      <c r="M19" s="18">
        <f>Table54[[#This Row],[Credit]]-Table54[[#This Row],[Debit]]</f>
        <v>-23041</v>
      </c>
      <c r="N19" s="18">
        <f>N18+Table54[[#This Row],[Difference]]</f>
        <v>-6219.9954407294863</v>
      </c>
      <c r="O19" s="18"/>
      <c r="P19" s="18" t="s">
        <v>29</v>
      </c>
      <c r="Q19" s="18" t="s">
        <v>26</v>
      </c>
      <c r="R19" s="22"/>
      <c r="S19" s="22"/>
      <c r="T19" s="193"/>
    </row>
    <row r="20" spans="1:23" hidden="1" x14ac:dyDescent="0.2">
      <c r="A20" s="23" t="s">
        <v>34</v>
      </c>
      <c r="B20" s="15"/>
      <c r="C20" s="24">
        <v>15</v>
      </c>
      <c r="D20" s="24" t="s">
        <v>34</v>
      </c>
      <c r="E20" s="10" t="s">
        <v>40</v>
      </c>
      <c r="F20" s="17">
        <v>42818</v>
      </c>
      <c r="G20" s="18"/>
      <c r="H20" s="18"/>
      <c r="I20" s="20">
        <v>0</v>
      </c>
      <c r="J20" s="20"/>
      <c r="K20" s="18">
        <v>70</v>
      </c>
      <c r="L20" s="18">
        <v>70</v>
      </c>
      <c r="M20" s="18">
        <f>Table54[[#This Row],[Credit]]-Table54[[#This Row],[Debit]]</f>
        <v>0</v>
      </c>
      <c r="N20" s="18">
        <f>N19+Table54[[#This Row],[Difference]]</f>
        <v>-6219.9954407294863</v>
      </c>
      <c r="O20" s="18"/>
      <c r="P20" s="18" t="s">
        <v>25</v>
      </c>
      <c r="Q20" s="18" t="s">
        <v>41</v>
      </c>
      <c r="R20" s="22"/>
      <c r="S20" s="22"/>
      <c r="T20" s="193"/>
      <c r="U20" s="1" t="s">
        <v>62</v>
      </c>
      <c r="V20" s="1">
        <f>SUM(V8:V18)</f>
        <v>93187</v>
      </c>
    </row>
    <row r="21" spans="1:23" hidden="1" x14ac:dyDescent="0.2">
      <c r="A21" s="23" t="s">
        <v>34</v>
      </c>
      <c r="B21" s="15"/>
      <c r="C21" s="24">
        <v>16</v>
      </c>
      <c r="D21" s="24" t="s">
        <v>34</v>
      </c>
      <c r="E21" s="10" t="s">
        <v>63</v>
      </c>
      <c r="F21" s="17">
        <v>42818</v>
      </c>
      <c r="G21" s="18"/>
      <c r="H21" s="18"/>
      <c r="I21" s="20">
        <v>0</v>
      </c>
      <c r="J21" s="20"/>
      <c r="K21" s="18">
        <v>205</v>
      </c>
      <c r="L21" s="18">
        <v>205</v>
      </c>
      <c r="M21" s="18">
        <f>Table54[[#This Row],[Credit]]-Table54[[#This Row],[Debit]]</f>
        <v>0</v>
      </c>
      <c r="N21" s="18">
        <f>N20+Table54[[#This Row],[Difference]]</f>
        <v>-6219.9954407294863</v>
      </c>
      <c r="O21" s="18"/>
      <c r="P21" s="18" t="s">
        <v>29</v>
      </c>
      <c r="Q21" s="18" t="s">
        <v>41</v>
      </c>
      <c r="R21" s="22"/>
      <c r="S21" s="22"/>
      <c r="T21" s="193"/>
      <c r="U21" s="1" t="s">
        <v>64</v>
      </c>
      <c r="V21" s="1">
        <f>V6-V20</f>
        <v>41980</v>
      </c>
    </row>
    <row r="22" spans="1:23" hidden="1" x14ac:dyDescent="0.2">
      <c r="A22" s="23" t="s">
        <v>34</v>
      </c>
      <c r="B22" s="15"/>
      <c r="C22" s="24">
        <v>17</v>
      </c>
      <c r="D22" s="24" t="s">
        <v>34</v>
      </c>
      <c r="E22" s="10" t="s">
        <v>59</v>
      </c>
      <c r="F22" s="17">
        <v>42818</v>
      </c>
      <c r="G22" s="18"/>
      <c r="H22" s="18"/>
      <c r="I22" s="20">
        <v>0</v>
      </c>
      <c r="J22" s="20"/>
      <c r="K22" s="18">
        <v>0</v>
      </c>
      <c r="L22" s="30">
        <v>2900</v>
      </c>
      <c r="M22" s="30">
        <f>Table54[[#This Row],[Credit]]-Table54[[#This Row],[Debit]]</f>
        <v>-2900</v>
      </c>
      <c r="N22" s="30">
        <f>N21+Table54[[#This Row],[Difference]]</f>
        <v>-9119.9954407294863</v>
      </c>
      <c r="O22" s="30"/>
      <c r="P22" s="30" t="s">
        <v>29</v>
      </c>
      <c r="Q22" s="30" t="s">
        <v>30</v>
      </c>
      <c r="R22" s="22"/>
      <c r="S22" s="22"/>
      <c r="T22" s="193"/>
    </row>
    <row r="23" spans="1:23" hidden="1" x14ac:dyDescent="0.2">
      <c r="A23" s="23" t="s">
        <v>34</v>
      </c>
      <c r="B23" s="15"/>
      <c r="C23" s="24">
        <v>18</v>
      </c>
      <c r="D23" s="24" t="s">
        <v>34</v>
      </c>
      <c r="E23" s="10" t="s">
        <v>65</v>
      </c>
      <c r="F23" s="17">
        <v>42819</v>
      </c>
      <c r="G23" s="18"/>
      <c r="H23" s="18"/>
      <c r="I23" s="20">
        <v>0</v>
      </c>
      <c r="J23" s="20"/>
      <c r="K23" s="18"/>
      <c r="L23" s="18">
        <f>3100+300</f>
        <v>3400</v>
      </c>
      <c r="M23" s="18">
        <f>Table54[[#This Row],[Credit]]-Table54[[#This Row],[Debit]]</f>
        <v>-3400</v>
      </c>
      <c r="N23" s="18">
        <f>N22+Table54[[#This Row],[Difference]]</f>
        <v>-12519.995440729486</v>
      </c>
      <c r="O23" s="18">
        <v>3100</v>
      </c>
      <c r="P23" s="18" t="s">
        <v>29</v>
      </c>
      <c r="Q23" s="18" t="s">
        <v>26</v>
      </c>
      <c r="R23" s="22"/>
      <c r="S23" s="22"/>
      <c r="T23" s="193"/>
    </row>
    <row r="24" spans="1:23" hidden="1" x14ac:dyDescent="0.2">
      <c r="A24" s="23" t="s">
        <v>34</v>
      </c>
      <c r="B24" s="15"/>
      <c r="C24" s="24">
        <v>19</v>
      </c>
      <c r="D24" s="24" t="s">
        <v>34</v>
      </c>
      <c r="E24" s="10" t="s">
        <v>66</v>
      </c>
      <c r="F24" s="17">
        <v>42819</v>
      </c>
      <c r="G24" s="18"/>
      <c r="H24" s="18"/>
      <c r="I24" s="20">
        <v>0</v>
      </c>
      <c r="J24" s="20"/>
      <c r="K24" s="18"/>
      <c r="L24" s="18">
        <f>650+160</f>
        <v>810</v>
      </c>
      <c r="M24" s="18">
        <f>Table54[[#This Row],[Credit]]-Table54[[#This Row],[Debit]]</f>
        <v>-810</v>
      </c>
      <c r="N24" s="18">
        <f>N23+Table54[[#This Row],[Difference]]</f>
        <v>-13329.995440729486</v>
      </c>
      <c r="O24" s="18"/>
      <c r="P24" s="18" t="s">
        <v>29</v>
      </c>
      <c r="Q24" s="18" t="s">
        <v>26</v>
      </c>
      <c r="R24" s="22"/>
      <c r="S24" s="22"/>
      <c r="T24" s="193"/>
    </row>
    <row r="25" spans="1:23" hidden="1" x14ac:dyDescent="0.2">
      <c r="A25" s="23" t="s">
        <v>34</v>
      </c>
      <c r="B25" s="15"/>
      <c r="C25" s="24">
        <v>20</v>
      </c>
      <c r="D25" s="24" t="s">
        <v>34</v>
      </c>
      <c r="E25" s="10" t="s">
        <v>67</v>
      </c>
      <c r="F25" s="17">
        <v>42821</v>
      </c>
      <c r="G25" s="18"/>
      <c r="H25" s="18"/>
      <c r="I25" s="20">
        <v>0</v>
      </c>
      <c r="J25" s="20"/>
      <c r="K25" s="18"/>
      <c r="L25" s="18">
        <v>100</v>
      </c>
      <c r="M25" s="18">
        <f>Table54[[#This Row],[Credit]]-Table54[[#This Row],[Debit]]</f>
        <v>-100</v>
      </c>
      <c r="N25" s="18">
        <f>N24+Table54[[#This Row],[Difference]]</f>
        <v>-13429.995440729486</v>
      </c>
      <c r="O25" s="18"/>
      <c r="P25" s="18" t="s">
        <v>29</v>
      </c>
      <c r="Q25" s="18" t="s">
        <v>26</v>
      </c>
      <c r="R25" s="22"/>
      <c r="S25" s="22"/>
      <c r="T25" s="193"/>
    </row>
    <row r="26" spans="1:23" hidden="1" x14ac:dyDescent="0.2">
      <c r="A26" s="23" t="s">
        <v>34</v>
      </c>
      <c r="B26" s="15"/>
      <c r="C26" s="24">
        <v>21</v>
      </c>
      <c r="D26" s="24" t="s">
        <v>34</v>
      </c>
      <c r="E26" s="10" t="s">
        <v>68</v>
      </c>
      <c r="F26" s="17">
        <v>42821</v>
      </c>
      <c r="G26" s="18"/>
      <c r="H26" s="18"/>
      <c r="I26" s="20">
        <v>0</v>
      </c>
      <c r="J26" s="20"/>
      <c r="K26" s="18"/>
      <c r="L26" s="18">
        <v>500</v>
      </c>
      <c r="M26" s="18">
        <f>Table54[[#This Row],[Credit]]-Table54[[#This Row],[Debit]]</f>
        <v>-500</v>
      </c>
      <c r="N26" s="18">
        <f>N25+Table54[[#This Row],[Difference]]</f>
        <v>-13929.995440729486</v>
      </c>
      <c r="O26" s="18"/>
      <c r="P26" s="18" t="s">
        <v>29</v>
      </c>
      <c r="Q26" s="18" t="s">
        <v>30</v>
      </c>
      <c r="R26" s="22"/>
      <c r="S26" s="22"/>
      <c r="T26" s="193"/>
    </row>
    <row r="27" spans="1:23" hidden="1" x14ac:dyDescent="0.2">
      <c r="A27" s="23" t="s">
        <v>34</v>
      </c>
      <c r="B27" s="15"/>
      <c r="C27" s="24">
        <v>22</v>
      </c>
      <c r="D27" s="24" t="s">
        <v>34</v>
      </c>
      <c r="E27" s="148" t="s">
        <v>315</v>
      </c>
      <c r="F27" s="17">
        <v>42824</v>
      </c>
      <c r="G27" s="18">
        <f>Table54[[#This Row],[Euro]]*1.0857</f>
        <v>1085.7</v>
      </c>
      <c r="H27" s="18">
        <v>1000</v>
      </c>
      <c r="I27" s="20">
        <v>70.070999999999998</v>
      </c>
      <c r="J27" s="20"/>
      <c r="K27" s="25">
        <f>Table54[[#This Row],[Euro]]*Table54[[#This Row],[Con. Rate]]</f>
        <v>70071</v>
      </c>
      <c r="L27" s="18"/>
      <c r="M27" s="18">
        <f>Table54[[#This Row],[Credit]]-Table54[[#This Row],[Debit]]</f>
        <v>70071</v>
      </c>
      <c r="N27" s="18">
        <f>N26+Table54[[#This Row],[Difference]]</f>
        <v>56141.004559270514</v>
      </c>
      <c r="O27" s="18"/>
      <c r="P27" s="18" t="s">
        <v>25</v>
      </c>
      <c r="Q27" s="18" t="s">
        <v>48</v>
      </c>
      <c r="R27" s="18" t="s">
        <v>343</v>
      </c>
      <c r="S27" s="22"/>
      <c r="T27" s="193"/>
    </row>
    <row r="28" spans="1:23" hidden="1" x14ac:dyDescent="0.2">
      <c r="A28" s="23" t="s">
        <v>34</v>
      </c>
      <c r="B28" s="15"/>
      <c r="C28" s="24">
        <v>23</v>
      </c>
      <c r="D28" s="24" t="s">
        <v>34</v>
      </c>
      <c r="E28" s="10" t="s">
        <v>69</v>
      </c>
      <c r="F28" s="17">
        <v>42837</v>
      </c>
      <c r="G28" s="18"/>
      <c r="H28" s="18"/>
      <c r="I28" s="20">
        <v>0</v>
      </c>
      <c r="J28" s="20"/>
      <c r="K28" s="18"/>
      <c r="L28" s="18">
        <f>3371+1199</f>
        <v>4570</v>
      </c>
      <c r="M28" s="18">
        <f>Table54[[#This Row],[Credit]]-Table54[[#This Row],[Debit]]</f>
        <v>-4570</v>
      </c>
      <c r="N28" s="18">
        <f>N27+Table54[[#This Row],[Difference]]</f>
        <v>51571.004559270514</v>
      </c>
      <c r="O28" s="18"/>
      <c r="P28" s="18" t="s">
        <v>29</v>
      </c>
      <c r="Q28" s="18" t="s">
        <v>44</v>
      </c>
      <c r="R28" s="22"/>
      <c r="S28" s="22"/>
      <c r="T28" s="193"/>
    </row>
    <row r="29" spans="1:23" hidden="1" x14ac:dyDescent="0.2">
      <c r="A29" s="23" t="s">
        <v>34</v>
      </c>
      <c r="B29" s="15"/>
      <c r="C29" s="24">
        <v>24</v>
      </c>
      <c r="D29" s="24" t="s">
        <v>34</v>
      </c>
      <c r="E29" s="10" t="s">
        <v>70</v>
      </c>
      <c r="F29" s="26">
        <v>42838</v>
      </c>
      <c r="G29" s="18">
        <f>Table54[[#This Row],[Euro]]*1.0857</f>
        <v>5503.4133000000002</v>
      </c>
      <c r="H29" s="18">
        <v>5069</v>
      </c>
      <c r="I29" s="31">
        <f>342397.77/H29</f>
        <v>67.547399881633467</v>
      </c>
      <c r="J29" s="27">
        <f>(5100-Table54[[#This Row],[Euro]])+(964.3/I29)</f>
        <v>45.275901095967996</v>
      </c>
      <c r="K29" s="28">
        <f>342397.77-964.3</f>
        <v>341433.47000000003</v>
      </c>
      <c r="L29" s="18">
        <f>Table54[[#This Row],[Credit]]</f>
        <v>341433.47000000003</v>
      </c>
      <c r="M29" s="18">
        <f>Table54[[#This Row],[Credit]]-Table54[[#This Row],[Debit]]</f>
        <v>0</v>
      </c>
      <c r="N29" s="18">
        <f>N28+Table54[[#This Row],[Difference]]</f>
        <v>51571.004559270514</v>
      </c>
      <c r="O29" s="18"/>
      <c r="P29" s="18" t="s">
        <v>25</v>
      </c>
      <c r="Q29" s="18" t="s">
        <v>71</v>
      </c>
      <c r="R29" s="22"/>
      <c r="S29" s="22"/>
      <c r="T29" s="193"/>
      <c r="U29" s="1" t="s">
        <v>72</v>
      </c>
      <c r="V29" s="32">
        <v>34500</v>
      </c>
      <c r="W29" s="32">
        <f>V29*12</f>
        <v>414000</v>
      </c>
    </row>
    <row r="30" spans="1:23" hidden="1" x14ac:dyDescent="0.2">
      <c r="A30" s="23" t="s">
        <v>34</v>
      </c>
      <c r="B30" s="15"/>
      <c r="C30" s="24">
        <v>25</v>
      </c>
      <c r="D30" s="24" t="s">
        <v>34</v>
      </c>
      <c r="E30" s="10" t="s">
        <v>73</v>
      </c>
      <c r="F30" s="17">
        <v>42838</v>
      </c>
      <c r="G30" s="18"/>
      <c r="H30" s="18"/>
      <c r="I30" s="20">
        <v>0</v>
      </c>
      <c r="J30" s="20"/>
      <c r="K30" s="18"/>
      <c r="L30" s="18">
        <v>5000</v>
      </c>
      <c r="M30" s="18">
        <f>Table54[[#This Row],[Credit]]-Table54[[#This Row],[Debit]]</f>
        <v>-5000</v>
      </c>
      <c r="N30" s="18">
        <f>N29+Table54[[#This Row],[Difference]]</f>
        <v>46571.004559270514</v>
      </c>
      <c r="O30" s="18"/>
      <c r="P30" s="18" t="s">
        <v>29</v>
      </c>
      <c r="Q30" s="18" t="s">
        <v>26</v>
      </c>
      <c r="R30" s="22"/>
      <c r="S30" s="22"/>
      <c r="T30" s="193"/>
      <c r="U30" s="1" t="s">
        <v>74</v>
      </c>
      <c r="V30" s="32">
        <f>K32/12</f>
        <v>34483.128333333334</v>
      </c>
      <c r="W30" s="32">
        <f>V30*12</f>
        <v>413797.54000000004</v>
      </c>
    </row>
    <row r="31" spans="1:23" hidden="1" x14ac:dyDescent="0.2">
      <c r="A31" s="23" t="s">
        <v>34</v>
      </c>
      <c r="B31" s="15"/>
      <c r="C31" s="24">
        <v>26</v>
      </c>
      <c r="D31" s="24" t="s">
        <v>34</v>
      </c>
      <c r="E31" s="10" t="s">
        <v>75</v>
      </c>
      <c r="F31" s="17">
        <v>42839</v>
      </c>
      <c r="G31" s="18"/>
      <c r="H31" s="18"/>
      <c r="I31" s="20">
        <v>0</v>
      </c>
      <c r="J31" s="20"/>
      <c r="K31" s="18"/>
      <c r="L31" s="18">
        <v>3000</v>
      </c>
      <c r="M31" s="18">
        <f>Table54[[#This Row],[Credit]]-Table54[[#This Row],[Debit]]</f>
        <v>-3000</v>
      </c>
      <c r="N31" s="18">
        <f>N30+Table54[[#This Row],[Difference]]</f>
        <v>43571.004559270514</v>
      </c>
      <c r="O31" s="18"/>
      <c r="P31" s="18" t="s">
        <v>29</v>
      </c>
      <c r="Q31" s="18" t="s">
        <v>30</v>
      </c>
      <c r="R31" s="22"/>
      <c r="S31" s="22"/>
      <c r="T31" s="193"/>
      <c r="U31" s="1" t="s">
        <v>76</v>
      </c>
      <c r="V31" s="32"/>
      <c r="W31" s="32">
        <f>W29-W30</f>
        <v>202.45999999996275</v>
      </c>
    </row>
    <row r="32" spans="1:23" hidden="1" x14ac:dyDescent="0.2">
      <c r="A32" s="23" t="s">
        <v>34</v>
      </c>
      <c r="B32" s="15"/>
      <c r="C32" s="24">
        <v>27</v>
      </c>
      <c r="D32" s="24" t="s">
        <v>34</v>
      </c>
      <c r="E32" s="10" t="s">
        <v>77</v>
      </c>
      <c r="F32" s="26">
        <v>42840</v>
      </c>
      <c r="G32" s="18">
        <f>Table54[[#This Row],[Euro]]*1.0857</f>
        <v>6589.1133000000009</v>
      </c>
      <c r="H32" s="18">
        <v>6069</v>
      </c>
      <c r="I32" s="20">
        <v>66.33</v>
      </c>
      <c r="J32" s="20">
        <f>6100-Table54[[#This Row],[Euro]]</f>
        <v>31</v>
      </c>
      <c r="K32" s="28">
        <f>414816.15-1018.61</f>
        <v>413797.54000000004</v>
      </c>
      <c r="L32" s="18">
        <f>Table54[[#This Row],[Credit]]</f>
        <v>413797.54000000004</v>
      </c>
      <c r="M32" s="18">
        <f>Table54[[#This Row],[Credit]]-Table54[[#This Row],[Debit]]</f>
        <v>0</v>
      </c>
      <c r="N32" s="18">
        <f>N31+Table54[[#This Row],[Difference]]</f>
        <v>43571.004559270514</v>
      </c>
      <c r="O32" s="18"/>
      <c r="P32" s="18" t="s">
        <v>25</v>
      </c>
      <c r="Q32" s="18" t="s">
        <v>26</v>
      </c>
      <c r="R32" s="22"/>
      <c r="S32" s="22"/>
      <c r="T32" s="193"/>
    </row>
    <row r="33" spans="1:20" hidden="1" x14ac:dyDescent="0.2">
      <c r="A33" s="23" t="s">
        <v>34</v>
      </c>
      <c r="B33" s="15"/>
      <c r="C33" s="24">
        <v>28</v>
      </c>
      <c r="D33" s="24" t="s">
        <v>34</v>
      </c>
      <c r="E33" s="10" t="s">
        <v>78</v>
      </c>
      <c r="F33" s="17">
        <v>42843</v>
      </c>
      <c r="G33" s="18"/>
      <c r="H33" s="18"/>
      <c r="I33" s="20">
        <v>0</v>
      </c>
      <c r="J33" s="20"/>
      <c r="K33" s="18"/>
      <c r="L33" s="18">
        <v>1490.4</v>
      </c>
      <c r="M33" s="18">
        <f>Table54[[#This Row],[Credit]]-Table54[[#This Row],[Debit]]</f>
        <v>-1490.4</v>
      </c>
      <c r="N33" s="18">
        <f>N32+Table54[[#This Row],[Difference]]</f>
        <v>42080.604559270512</v>
      </c>
      <c r="O33" s="18"/>
      <c r="P33" s="18" t="s">
        <v>29</v>
      </c>
      <c r="Q33" s="18" t="s">
        <v>79</v>
      </c>
      <c r="R33" s="22"/>
      <c r="S33" s="22"/>
      <c r="T33" s="193"/>
    </row>
    <row r="34" spans="1:20" hidden="1" x14ac:dyDescent="0.2">
      <c r="A34" s="23" t="s">
        <v>34</v>
      </c>
      <c r="B34" s="15"/>
      <c r="C34" s="33">
        <v>29</v>
      </c>
      <c r="D34" s="33" t="s">
        <v>34</v>
      </c>
      <c r="E34" s="34" t="s">
        <v>80</v>
      </c>
      <c r="F34" s="35">
        <v>42849</v>
      </c>
      <c r="G34" s="36"/>
      <c r="H34" s="36"/>
      <c r="I34" s="37">
        <v>0</v>
      </c>
      <c r="J34" s="37"/>
      <c r="K34" s="36"/>
      <c r="L34" s="36">
        <f>115+402.5</f>
        <v>517.5</v>
      </c>
      <c r="M34" s="36">
        <f>Table54[[#This Row],[Credit]]-Table54[[#This Row],[Debit]]</f>
        <v>-517.5</v>
      </c>
      <c r="N34" s="36">
        <f>N33+Table54[[#This Row],[Difference]]</f>
        <v>41563.104559270512</v>
      </c>
      <c r="O34" s="36"/>
      <c r="P34" s="36" t="s">
        <v>81</v>
      </c>
      <c r="Q34" s="36" t="s">
        <v>82</v>
      </c>
      <c r="R34" s="38" t="s">
        <v>83</v>
      </c>
      <c r="S34" s="38"/>
      <c r="T34" s="193"/>
    </row>
    <row r="35" spans="1:20" hidden="1" x14ac:dyDescent="0.2">
      <c r="A35" s="23" t="s">
        <v>34</v>
      </c>
      <c r="B35" s="15"/>
      <c r="C35" s="24">
        <v>30</v>
      </c>
      <c r="D35" s="24" t="s">
        <v>34</v>
      </c>
      <c r="E35" s="15" t="s">
        <v>101</v>
      </c>
      <c r="F35" s="17">
        <v>42851</v>
      </c>
      <c r="G35" s="18"/>
      <c r="H35" s="18"/>
      <c r="I35" s="20">
        <v>0</v>
      </c>
      <c r="J35" s="20"/>
      <c r="K35" s="18">
        <v>9000</v>
      </c>
      <c r="L35" s="18">
        <v>9000</v>
      </c>
      <c r="M35" s="18">
        <f>Table54[[#This Row],[Credit]]-Table54[[#This Row],[Debit]]</f>
        <v>0</v>
      </c>
      <c r="N35" s="18">
        <f>N34+Table54[[#This Row],[Difference]]</f>
        <v>41563.104559270512</v>
      </c>
      <c r="O35" s="18"/>
      <c r="P35" s="18" t="s">
        <v>29</v>
      </c>
      <c r="Q35" s="18" t="s">
        <v>299</v>
      </c>
      <c r="R35" s="22"/>
      <c r="S35" s="22"/>
      <c r="T35" s="193"/>
    </row>
    <row r="36" spans="1:20" hidden="1" x14ac:dyDescent="0.2">
      <c r="A36" s="23" t="s">
        <v>34</v>
      </c>
      <c r="B36" s="15"/>
      <c r="C36" s="24">
        <v>31</v>
      </c>
      <c r="D36" s="24" t="s">
        <v>34</v>
      </c>
      <c r="E36" s="176" t="s">
        <v>85</v>
      </c>
      <c r="F36" s="17">
        <v>42855</v>
      </c>
      <c r="G36" s="18"/>
      <c r="H36" s="18"/>
      <c r="I36" s="20">
        <v>0</v>
      </c>
      <c r="J36" s="20"/>
      <c r="K36" s="18"/>
      <c r="L36" s="18">
        <v>1300</v>
      </c>
      <c r="M36" s="18">
        <f>Table54[[#This Row],[Credit]]-Table54[[#This Row],[Debit]]</f>
        <v>-1300</v>
      </c>
      <c r="N36" s="18">
        <f>N35+Table54[[#This Row],[Difference]]</f>
        <v>40263.104559270512</v>
      </c>
      <c r="O36" s="18"/>
      <c r="P36" s="18" t="s">
        <v>29</v>
      </c>
      <c r="Q36" s="18" t="s">
        <v>86</v>
      </c>
      <c r="R36" s="18" t="s">
        <v>343</v>
      </c>
      <c r="S36" s="22"/>
      <c r="T36" s="193"/>
    </row>
    <row r="37" spans="1:20" hidden="1" x14ac:dyDescent="0.2">
      <c r="A37" s="23" t="s">
        <v>34</v>
      </c>
      <c r="B37" s="15"/>
      <c r="C37" s="24">
        <v>32</v>
      </c>
      <c r="D37" s="24" t="s">
        <v>34</v>
      </c>
      <c r="E37" s="15" t="s">
        <v>87</v>
      </c>
      <c r="F37" s="17">
        <v>42857</v>
      </c>
      <c r="G37" s="18"/>
      <c r="H37" s="18"/>
      <c r="I37" s="20">
        <v>0</v>
      </c>
      <c r="J37" s="20"/>
      <c r="K37" s="18"/>
      <c r="L37" s="18">
        <v>5334</v>
      </c>
      <c r="M37" s="18">
        <f>Table54[[#This Row],[Credit]]-Table54[[#This Row],[Debit]]</f>
        <v>-5334</v>
      </c>
      <c r="N37" s="18">
        <f>N36+Table54[[#This Row],[Difference]]</f>
        <v>34929.104559270512</v>
      </c>
      <c r="O37" s="18"/>
      <c r="P37" s="18" t="s">
        <v>29</v>
      </c>
      <c r="Q37" s="18" t="s">
        <v>86</v>
      </c>
      <c r="R37" s="18" t="s">
        <v>343</v>
      </c>
      <c r="S37" s="22"/>
      <c r="T37" s="193"/>
    </row>
    <row r="38" spans="1:20" hidden="1" x14ac:dyDescent="0.2">
      <c r="A38" s="23" t="s">
        <v>34</v>
      </c>
      <c r="B38" s="15"/>
      <c r="C38" s="24">
        <v>33</v>
      </c>
      <c r="D38" s="24" t="s">
        <v>34</v>
      </c>
      <c r="E38" s="15" t="s">
        <v>88</v>
      </c>
      <c r="F38" s="17">
        <v>42857</v>
      </c>
      <c r="G38" s="18"/>
      <c r="H38" s="18"/>
      <c r="I38" s="20">
        <v>0</v>
      </c>
      <c r="J38" s="20"/>
      <c r="K38" s="18"/>
      <c r="L38" s="18">
        <v>2000</v>
      </c>
      <c r="M38" s="18">
        <f>Table54[[#This Row],[Credit]]-Table54[[#This Row],[Debit]]</f>
        <v>-2000</v>
      </c>
      <c r="N38" s="18">
        <f>N37+Table54[[#This Row],[Difference]]</f>
        <v>32929.104559270512</v>
      </c>
      <c r="O38" s="18"/>
      <c r="P38" s="18" t="s">
        <v>29</v>
      </c>
      <c r="Q38" s="18" t="s">
        <v>86</v>
      </c>
      <c r="R38" s="18" t="s">
        <v>343</v>
      </c>
      <c r="S38" s="22"/>
      <c r="T38" s="193"/>
    </row>
    <row r="39" spans="1:20" hidden="1" x14ac:dyDescent="0.2">
      <c r="A39" s="23" t="s">
        <v>34</v>
      </c>
      <c r="B39" s="15"/>
      <c r="C39" s="24">
        <v>34</v>
      </c>
      <c r="D39" s="24" t="s">
        <v>34</v>
      </c>
      <c r="E39" s="15" t="s">
        <v>89</v>
      </c>
      <c r="F39" s="17">
        <v>42857</v>
      </c>
      <c r="G39" s="18"/>
      <c r="H39" s="18"/>
      <c r="I39" s="20">
        <v>0</v>
      </c>
      <c r="J39" s="20"/>
      <c r="K39" s="18"/>
      <c r="L39" s="18">
        <v>6667</v>
      </c>
      <c r="M39" s="18">
        <f>Table54[[#This Row],[Credit]]-Table54[[#This Row],[Debit]]</f>
        <v>-6667</v>
      </c>
      <c r="N39" s="18">
        <f>N38+Table54[[#This Row],[Difference]]</f>
        <v>26262.104559270512</v>
      </c>
      <c r="O39" s="18"/>
      <c r="P39" s="18" t="s">
        <v>29</v>
      </c>
      <c r="Q39" s="18" t="s">
        <v>86</v>
      </c>
      <c r="R39" s="18" t="s">
        <v>343</v>
      </c>
      <c r="S39" s="22"/>
      <c r="T39" s="193"/>
    </row>
    <row r="40" spans="1:20" hidden="1" x14ac:dyDescent="0.2">
      <c r="A40" s="23" t="s">
        <v>34</v>
      </c>
      <c r="B40" s="15"/>
      <c r="C40" s="24">
        <v>35</v>
      </c>
      <c r="D40" s="24" t="s">
        <v>34</v>
      </c>
      <c r="E40" s="148" t="s">
        <v>315</v>
      </c>
      <c r="F40" s="17">
        <v>42858</v>
      </c>
      <c r="G40" s="18">
        <f>Table54[[#This Row],[Credit]]/Table54[[#This Row],[Con. Rate]]</f>
        <v>3093.3058947685818</v>
      </c>
      <c r="H40" s="18"/>
      <c r="I40" s="20">
        <v>66.33</v>
      </c>
      <c r="J40" s="20"/>
      <c r="K40" s="25">
        <v>205178.98</v>
      </c>
      <c r="L40" s="18"/>
      <c r="M40" s="18">
        <f>Table54[[#This Row],[Credit]]-Table54[[#This Row],[Debit]]</f>
        <v>205178.98</v>
      </c>
      <c r="N40" s="18">
        <f>N39+Table54[[#This Row],[Difference]]</f>
        <v>231441.08455927053</v>
      </c>
      <c r="O40" s="18"/>
      <c r="P40" s="18" t="s">
        <v>25</v>
      </c>
      <c r="Q40" s="18" t="s">
        <v>48</v>
      </c>
      <c r="R40" s="18" t="s">
        <v>343</v>
      </c>
      <c r="S40" s="22"/>
      <c r="T40" s="193"/>
    </row>
    <row r="41" spans="1:20" hidden="1" x14ac:dyDescent="0.2">
      <c r="A41" s="23" t="s">
        <v>34</v>
      </c>
      <c r="B41" s="15"/>
      <c r="C41" s="24">
        <v>36</v>
      </c>
      <c r="D41" s="24" t="s">
        <v>34</v>
      </c>
      <c r="E41" s="15" t="s">
        <v>91</v>
      </c>
      <c r="F41" s="17">
        <v>42858</v>
      </c>
      <c r="G41" s="18"/>
      <c r="H41" s="18"/>
      <c r="I41" s="20">
        <v>0</v>
      </c>
      <c r="J41" s="20"/>
      <c r="K41" s="18"/>
      <c r="L41" s="18">
        <v>861.38</v>
      </c>
      <c r="M41" s="18">
        <f>Table54[[#This Row],[Credit]]-Table54[[#This Row],[Debit]]</f>
        <v>-861.38</v>
      </c>
      <c r="N41" s="18">
        <f>N40+Table54[[#This Row],[Difference]]</f>
        <v>230579.70455927053</v>
      </c>
      <c r="O41" s="18"/>
      <c r="P41" s="18" t="s">
        <v>81</v>
      </c>
      <c r="Q41" s="18" t="s">
        <v>82</v>
      </c>
      <c r="R41" s="18" t="s">
        <v>343</v>
      </c>
      <c r="S41" s="22"/>
      <c r="T41" s="193"/>
    </row>
    <row r="42" spans="1:20" hidden="1" x14ac:dyDescent="0.2">
      <c r="A42" s="23" t="s">
        <v>34</v>
      </c>
      <c r="B42" s="15"/>
      <c r="C42" s="24">
        <v>37</v>
      </c>
      <c r="D42" s="24" t="s">
        <v>34</v>
      </c>
      <c r="E42" s="10" t="s">
        <v>70</v>
      </c>
      <c r="F42" s="17">
        <v>42858</v>
      </c>
      <c r="G42" s="18"/>
      <c r="H42" s="18"/>
      <c r="I42" s="20">
        <v>0</v>
      </c>
      <c r="J42" s="20"/>
      <c r="K42" s="18"/>
      <c r="L42" s="18">
        <v>127160</v>
      </c>
      <c r="M42" s="18">
        <f>Table54[[#This Row],[Credit]]-Table54[[#This Row],[Debit]]</f>
        <v>-127160</v>
      </c>
      <c r="N42" s="18">
        <f>N41+Table54[[#This Row],[Difference]]</f>
        <v>103419.70455927053</v>
      </c>
      <c r="O42" s="18"/>
      <c r="P42" s="18" t="s">
        <v>29</v>
      </c>
      <c r="Q42" s="18" t="s">
        <v>71</v>
      </c>
      <c r="R42" s="22"/>
      <c r="S42" s="22"/>
      <c r="T42" s="193"/>
    </row>
    <row r="43" spans="1:20" hidden="1" x14ac:dyDescent="0.2">
      <c r="A43" s="23" t="s">
        <v>34</v>
      </c>
      <c r="B43" s="15"/>
      <c r="C43" s="24">
        <v>38</v>
      </c>
      <c r="D43" s="24" t="s">
        <v>34</v>
      </c>
      <c r="E43" s="15" t="s">
        <v>92</v>
      </c>
      <c r="F43" s="17">
        <v>42871</v>
      </c>
      <c r="G43" s="18"/>
      <c r="H43" s="18"/>
      <c r="I43" s="20">
        <v>0</v>
      </c>
      <c r="J43" s="20"/>
      <c r="K43" s="18"/>
      <c r="L43" s="18">
        <v>6667</v>
      </c>
      <c r="M43" s="18">
        <f>Table54[[#This Row],[Credit]]-Table54[[#This Row],[Debit]]</f>
        <v>-6667</v>
      </c>
      <c r="N43" s="18">
        <f>N42+Table54[[#This Row],[Difference]]</f>
        <v>96752.704559270525</v>
      </c>
      <c r="O43" s="18"/>
      <c r="P43" s="18" t="s">
        <v>29</v>
      </c>
      <c r="Q43" s="18" t="s">
        <v>86</v>
      </c>
      <c r="R43" s="18" t="s">
        <v>343</v>
      </c>
      <c r="S43" s="22"/>
      <c r="T43" s="193"/>
    </row>
    <row r="44" spans="1:20" hidden="1" x14ac:dyDescent="0.2">
      <c r="A44" s="23" t="s">
        <v>34</v>
      </c>
      <c r="B44" s="15"/>
      <c r="C44" s="24">
        <v>39</v>
      </c>
      <c r="D44" s="24" t="s">
        <v>34</v>
      </c>
      <c r="E44" s="15" t="s">
        <v>93</v>
      </c>
      <c r="F44" s="17">
        <v>42871</v>
      </c>
      <c r="G44" s="18"/>
      <c r="H44" s="18"/>
      <c r="I44" s="20">
        <v>0</v>
      </c>
      <c r="J44" s="20"/>
      <c r="K44" s="18"/>
      <c r="L44" s="18">
        <v>5667</v>
      </c>
      <c r="M44" s="18">
        <f>Table54[[#This Row],[Credit]]-Table54[[#This Row],[Debit]]</f>
        <v>-5667</v>
      </c>
      <c r="N44" s="18">
        <f>N43+Table54[[#This Row],[Difference]]</f>
        <v>91085.704559270525</v>
      </c>
      <c r="O44" s="18"/>
      <c r="P44" s="18" t="s">
        <v>29</v>
      </c>
      <c r="Q44" s="18" t="s">
        <v>86</v>
      </c>
      <c r="R44" s="18" t="s">
        <v>343</v>
      </c>
      <c r="S44" s="22"/>
      <c r="T44" s="193"/>
    </row>
    <row r="45" spans="1:20" hidden="1" x14ac:dyDescent="0.2">
      <c r="A45" s="23" t="s">
        <v>34</v>
      </c>
      <c r="B45" s="15"/>
      <c r="C45" s="24">
        <v>40</v>
      </c>
      <c r="D45" s="24" t="s">
        <v>34</v>
      </c>
      <c r="E45" s="10" t="s">
        <v>94</v>
      </c>
      <c r="F45" s="17">
        <v>42871</v>
      </c>
      <c r="G45" s="18"/>
      <c r="H45" s="18"/>
      <c r="I45" s="20">
        <v>0</v>
      </c>
      <c r="J45" s="20"/>
      <c r="K45" s="18"/>
      <c r="L45" s="18">
        <v>2995</v>
      </c>
      <c r="M45" s="18">
        <f>Table54[[#This Row],[Credit]]-Table54[[#This Row],[Debit]]</f>
        <v>-2995</v>
      </c>
      <c r="N45" s="18">
        <f>N44+Table54[[#This Row],[Difference]]</f>
        <v>88090.704559270525</v>
      </c>
      <c r="O45" s="18"/>
      <c r="P45" s="18" t="s">
        <v>29</v>
      </c>
      <c r="Q45" s="18" t="s">
        <v>30</v>
      </c>
      <c r="R45" s="22"/>
      <c r="S45" s="22"/>
      <c r="T45" s="193"/>
    </row>
    <row r="46" spans="1:20" hidden="1" x14ac:dyDescent="0.2">
      <c r="A46" s="23" t="s">
        <v>34</v>
      </c>
      <c r="B46" s="15"/>
      <c r="C46" s="24">
        <v>41</v>
      </c>
      <c r="D46" s="24" t="s">
        <v>34</v>
      </c>
      <c r="E46" s="10" t="s">
        <v>95</v>
      </c>
      <c r="F46" s="17">
        <v>42871</v>
      </c>
      <c r="G46" s="18"/>
      <c r="H46" s="18"/>
      <c r="I46" s="20">
        <v>0</v>
      </c>
      <c r="J46" s="20"/>
      <c r="K46" s="18"/>
      <c r="L46" s="18">
        <f>2357-1200</f>
        <v>1157</v>
      </c>
      <c r="M46" s="18">
        <f>Table54[[#This Row],[Credit]]-Table54[[#This Row],[Debit]]</f>
        <v>-1157</v>
      </c>
      <c r="N46" s="18">
        <f>N45+Table54[[#This Row],[Difference]]</f>
        <v>86933.704559270525</v>
      </c>
      <c r="O46" s="18"/>
      <c r="P46" s="18" t="s">
        <v>29</v>
      </c>
      <c r="Q46" s="18" t="s">
        <v>30</v>
      </c>
      <c r="R46" s="22"/>
      <c r="S46" s="22"/>
      <c r="T46" s="193"/>
    </row>
    <row r="47" spans="1:20" hidden="1" x14ac:dyDescent="0.2">
      <c r="A47" s="14" t="s">
        <v>22</v>
      </c>
      <c r="B47" s="15"/>
      <c r="C47" s="16">
        <v>42</v>
      </c>
      <c r="D47" s="16" t="s">
        <v>23</v>
      </c>
      <c r="E47" s="10" t="s">
        <v>96</v>
      </c>
      <c r="F47" s="17">
        <v>42871</v>
      </c>
      <c r="G47" s="18"/>
      <c r="H47" s="18"/>
      <c r="I47" s="20">
        <v>0</v>
      </c>
      <c r="J47" s="20"/>
      <c r="K47" s="18"/>
      <c r="L47" s="18">
        <v>28.75</v>
      </c>
      <c r="M47" s="18">
        <f>Table54[[#This Row],[Credit]]-Table54[[#This Row],[Debit]]</f>
        <v>-28.75</v>
      </c>
      <c r="N47" s="18">
        <f>N46+Table54[[#This Row],[Difference]]</f>
        <v>86904.954559270525</v>
      </c>
      <c r="O47" s="18"/>
      <c r="P47" s="18" t="s">
        <v>81</v>
      </c>
      <c r="Q47" s="18" t="s">
        <v>82</v>
      </c>
      <c r="R47" s="22"/>
      <c r="S47" s="22"/>
      <c r="T47" s="193"/>
    </row>
    <row r="48" spans="1:20" hidden="1" x14ac:dyDescent="0.2">
      <c r="A48" s="23" t="s">
        <v>34</v>
      </c>
      <c r="B48" s="15"/>
      <c r="C48" s="24">
        <v>43</v>
      </c>
      <c r="D48" s="24" t="s">
        <v>34</v>
      </c>
      <c r="E48" s="15" t="s">
        <v>97</v>
      </c>
      <c r="F48" s="17">
        <v>42872</v>
      </c>
      <c r="G48" s="18"/>
      <c r="H48" s="18"/>
      <c r="I48" s="20">
        <v>0</v>
      </c>
      <c r="J48" s="20"/>
      <c r="K48" s="18"/>
      <c r="L48" s="18">
        <v>28.75</v>
      </c>
      <c r="M48" s="18">
        <f>Table54[[#This Row],[Credit]]-Table54[[#This Row],[Debit]]</f>
        <v>-28.75</v>
      </c>
      <c r="N48" s="18">
        <f>N47+Table54[[#This Row],[Difference]]</f>
        <v>86876.204559270525</v>
      </c>
      <c r="O48" s="18"/>
      <c r="P48" s="18" t="s">
        <v>81</v>
      </c>
      <c r="Q48" s="18" t="s">
        <v>82</v>
      </c>
      <c r="R48" s="18" t="s">
        <v>343</v>
      </c>
      <c r="S48" s="22"/>
      <c r="T48" s="193"/>
    </row>
    <row r="49" spans="1:20" hidden="1" x14ac:dyDescent="0.2">
      <c r="A49" s="23" t="s">
        <v>34</v>
      </c>
      <c r="B49" s="15"/>
      <c r="C49" s="24">
        <v>44</v>
      </c>
      <c r="D49" s="24" t="s">
        <v>34</v>
      </c>
      <c r="E49" s="15" t="s">
        <v>98</v>
      </c>
      <c r="F49" s="17">
        <v>42872</v>
      </c>
      <c r="G49" s="18"/>
      <c r="H49" s="18"/>
      <c r="I49" s="20">
        <v>0</v>
      </c>
      <c r="J49" s="20"/>
      <c r="K49" s="18"/>
      <c r="L49" s="18">
        <v>160</v>
      </c>
      <c r="M49" s="18">
        <f>Table54[[#This Row],[Credit]]-Table54[[#This Row],[Debit]]</f>
        <v>-160</v>
      </c>
      <c r="N49" s="18">
        <f>N48+Table54[[#This Row],[Difference]]</f>
        <v>86716.204559270525</v>
      </c>
      <c r="O49" s="18"/>
      <c r="P49" s="18" t="s">
        <v>29</v>
      </c>
      <c r="Q49" s="18" t="s">
        <v>30</v>
      </c>
      <c r="R49" s="22"/>
      <c r="S49" s="22"/>
      <c r="T49" s="193" t="s">
        <v>342</v>
      </c>
    </row>
    <row r="50" spans="1:20" hidden="1" x14ac:dyDescent="0.2">
      <c r="A50" s="14" t="s">
        <v>22</v>
      </c>
      <c r="B50" s="15"/>
      <c r="C50" s="16">
        <v>45</v>
      </c>
      <c r="D50" s="16" t="s">
        <v>23</v>
      </c>
      <c r="E50" s="10" t="s">
        <v>97</v>
      </c>
      <c r="F50" s="17">
        <v>42872</v>
      </c>
      <c r="G50" s="18"/>
      <c r="H50" s="18"/>
      <c r="I50" s="20">
        <v>0</v>
      </c>
      <c r="J50" s="20"/>
      <c r="K50" s="18"/>
      <c r="L50" s="18">
        <v>287.5</v>
      </c>
      <c r="M50" s="18">
        <f>Table54[[#This Row],[Credit]]-Table54[[#This Row],[Debit]]</f>
        <v>-287.5</v>
      </c>
      <c r="N50" s="18">
        <f>N49+Table54[[#This Row],[Difference]]</f>
        <v>86428.704559270525</v>
      </c>
      <c r="O50" s="18"/>
      <c r="P50" s="18" t="s">
        <v>81</v>
      </c>
      <c r="Q50" s="18" t="s">
        <v>82</v>
      </c>
      <c r="R50" s="22"/>
      <c r="S50" s="22"/>
      <c r="T50" s="193"/>
    </row>
    <row r="51" spans="1:20" hidden="1" x14ac:dyDescent="0.2">
      <c r="A51" s="23" t="s">
        <v>34</v>
      </c>
      <c r="B51" s="15"/>
      <c r="C51" s="24">
        <v>46</v>
      </c>
      <c r="D51" s="24" t="s">
        <v>34</v>
      </c>
      <c r="E51" s="15" t="s">
        <v>99</v>
      </c>
      <c r="F51" s="17">
        <v>42874</v>
      </c>
      <c r="G51" s="18"/>
      <c r="H51" s="18"/>
      <c r="I51" s="20">
        <v>0</v>
      </c>
      <c r="J51" s="20"/>
      <c r="K51" s="18"/>
      <c r="L51" s="18">
        <v>7000</v>
      </c>
      <c r="M51" s="18">
        <f>Table54[[#This Row],[Credit]]-Table54[[#This Row],[Debit]]</f>
        <v>-7000</v>
      </c>
      <c r="N51" s="18">
        <f>N50+Table54[[#This Row],[Difference]]</f>
        <v>79428.704559270525</v>
      </c>
      <c r="O51" s="18"/>
      <c r="P51" s="18" t="s">
        <v>81</v>
      </c>
      <c r="Q51" s="18" t="s">
        <v>48</v>
      </c>
      <c r="R51" s="18" t="s">
        <v>343</v>
      </c>
      <c r="S51" s="22"/>
      <c r="T51" s="193"/>
    </row>
    <row r="52" spans="1:20" hidden="1" x14ac:dyDescent="0.2">
      <c r="A52" s="14" t="s">
        <v>22</v>
      </c>
      <c r="B52" s="15"/>
      <c r="C52" s="16">
        <v>47</v>
      </c>
      <c r="D52" s="16" t="s">
        <v>23</v>
      </c>
      <c r="E52" s="10" t="s">
        <v>99</v>
      </c>
      <c r="F52" s="17">
        <v>42874</v>
      </c>
      <c r="G52" s="18"/>
      <c r="H52" s="18"/>
      <c r="I52" s="20">
        <v>0</v>
      </c>
      <c r="J52" s="20"/>
      <c r="K52" s="18">
        <v>7000</v>
      </c>
      <c r="L52" s="18">
        <v>0</v>
      </c>
      <c r="M52" s="18">
        <f>Table54[[#This Row],[Credit]]-Table54[[#This Row],[Debit]]</f>
        <v>7000</v>
      </c>
      <c r="N52" s="18">
        <f>N51+Table54[[#This Row],[Difference]]</f>
        <v>86428.704559270525</v>
      </c>
      <c r="O52" s="18"/>
      <c r="P52" s="18" t="s">
        <v>81</v>
      </c>
      <c r="Q52" s="18" t="s">
        <v>48</v>
      </c>
      <c r="R52" s="22"/>
      <c r="S52" s="22"/>
      <c r="T52" s="193"/>
    </row>
    <row r="53" spans="1:20" hidden="1" x14ac:dyDescent="0.2">
      <c r="A53" s="23" t="s">
        <v>34</v>
      </c>
      <c r="B53" s="15"/>
      <c r="C53" s="24">
        <v>48</v>
      </c>
      <c r="D53" s="24" t="s">
        <v>34</v>
      </c>
      <c r="E53" s="10" t="s">
        <v>100</v>
      </c>
      <c r="F53" s="17">
        <v>42874</v>
      </c>
      <c r="G53" s="18"/>
      <c r="H53" s="18"/>
      <c r="I53" s="20">
        <v>0</v>
      </c>
      <c r="J53" s="20"/>
      <c r="K53" s="18"/>
      <c r="L53" s="18">
        <v>956.99</v>
      </c>
      <c r="M53" s="18">
        <f>Table54[[#This Row],[Credit]]-Table54[[#This Row],[Debit]]</f>
        <v>-956.99</v>
      </c>
      <c r="N53" s="18">
        <f>N52+Table54[[#This Row],[Difference]]</f>
        <v>85471.71455927052</v>
      </c>
      <c r="O53" s="18"/>
      <c r="P53" s="18" t="s">
        <v>81</v>
      </c>
      <c r="Q53" s="18" t="s">
        <v>30</v>
      </c>
      <c r="R53" s="22"/>
      <c r="S53" s="22"/>
      <c r="T53" s="193"/>
    </row>
    <row r="54" spans="1:20" hidden="1" x14ac:dyDescent="0.2">
      <c r="A54" s="23" t="s">
        <v>34</v>
      </c>
      <c r="B54" s="15"/>
      <c r="C54" s="24">
        <v>49</v>
      </c>
      <c r="D54" s="24" t="s">
        <v>34</v>
      </c>
      <c r="E54" s="15" t="s">
        <v>101</v>
      </c>
      <c r="F54" s="17">
        <v>42874</v>
      </c>
      <c r="G54" s="18"/>
      <c r="H54" s="18"/>
      <c r="I54" s="20">
        <v>0</v>
      </c>
      <c r="J54" s="20"/>
      <c r="K54" s="18">
        <v>11181.9</v>
      </c>
      <c r="L54" s="18">
        <v>11181.9</v>
      </c>
      <c r="M54" s="18">
        <f>Table54[[#This Row],[Credit]]-Table54[[#This Row],[Debit]]</f>
        <v>0</v>
      </c>
      <c r="N54" s="18">
        <f>N53+Table54[[#This Row],[Difference]]</f>
        <v>85471.71455927052</v>
      </c>
      <c r="O54" s="18"/>
      <c r="P54" s="18" t="s">
        <v>81</v>
      </c>
      <c r="Q54" s="18" t="s">
        <v>299</v>
      </c>
      <c r="R54" s="18" t="s">
        <v>343</v>
      </c>
      <c r="S54" s="22"/>
      <c r="T54" s="193"/>
    </row>
    <row r="55" spans="1:20" hidden="1" x14ac:dyDescent="0.2">
      <c r="A55" s="23" t="s">
        <v>34</v>
      </c>
      <c r="B55" s="15"/>
      <c r="C55" s="24">
        <v>50</v>
      </c>
      <c r="D55" s="24" t="s">
        <v>34</v>
      </c>
      <c r="E55" s="15" t="s">
        <v>102</v>
      </c>
      <c r="F55" s="17">
        <v>42877</v>
      </c>
      <c r="G55" s="18"/>
      <c r="H55" s="18"/>
      <c r="I55" s="20">
        <v>0</v>
      </c>
      <c r="J55" s="20"/>
      <c r="K55" s="18"/>
      <c r="L55" s="18">
        <v>3800</v>
      </c>
      <c r="M55" s="18">
        <f>Table54[[#This Row],[Credit]]-Table54[[#This Row],[Debit]]</f>
        <v>-3800</v>
      </c>
      <c r="N55" s="18">
        <f>N54+Table54[[#This Row],[Difference]]</f>
        <v>81671.71455927052</v>
      </c>
      <c r="O55" s="18"/>
      <c r="P55" s="18" t="s">
        <v>81</v>
      </c>
      <c r="Q55" s="18" t="s">
        <v>103</v>
      </c>
      <c r="R55" s="18" t="s">
        <v>343</v>
      </c>
      <c r="S55" s="22"/>
      <c r="T55" s="193" t="s">
        <v>335</v>
      </c>
    </row>
    <row r="56" spans="1:20" hidden="1" x14ac:dyDescent="0.2">
      <c r="A56" s="23" t="s">
        <v>34</v>
      </c>
      <c r="B56" s="15"/>
      <c r="C56" s="24">
        <v>51</v>
      </c>
      <c r="D56" s="24" t="s">
        <v>34</v>
      </c>
      <c r="E56" s="15" t="s">
        <v>104</v>
      </c>
      <c r="F56" s="17">
        <v>42887</v>
      </c>
      <c r="G56" s="18"/>
      <c r="H56" s="18"/>
      <c r="I56" s="20">
        <v>0</v>
      </c>
      <c r="J56" s="20"/>
      <c r="K56" s="18"/>
      <c r="L56" s="18">
        <v>15000</v>
      </c>
      <c r="M56" s="18">
        <f>Table54[[#This Row],[Credit]]-Table54[[#This Row],[Debit]]</f>
        <v>-15000</v>
      </c>
      <c r="N56" s="18">
        <f>N55+Table54[[#This Row],[Difference]]</f>
        <v>66671.71455927052</v>
      </c>
      <c r="O56" s="18"/>
      <c r="P56" s="18" t="s">
        <v>25</v>
      </c>
      <c r="Q56" s="18" t="s">
        <v>299</v>
      </c>
      <c r="R56" s="18" t="s">
        <v>343</v>
      </c>
      <c r="S56" s="22"/>
      <c r="T56" s="193"/>
    </row>
    <row r="57" spans="1:20" hidden="1" x14ac:dyDescent="0.2">
      <c r="A57" s="23" t="s">
        <v>34</v>
      </c>
      <c r="B57" s="15"/>
      <c r="C57" s="24">
        <v>52</v>
      </c>
      <c r="D57" s="24" t="s">
        <v>34</v>
      </c>
      <c r="E57" s="15" t="s">
        <v>105</v>
      </c>
      <c r="F57" s="17">
        <v>42887</v>
      </c>
      <c r="G57" s="18"/>
      <c r="H57" s="18"/>
      <c r="I57" s="20">
        <v>0</v>
      </c>
      <c r="J57" s="20"/>
      <c r="K57" s="18"/>
      <c r="L57" s="18">
        <v>9800</v>
      </c>
      <c r="M57" s="18">
        <f>Table54[[#This Row],[Credit]]-Table54[[#This Row],[Debit]]</f>
        <v>-9800</v>
      </c>
      <c r="N57" s="18">
        <f>N56+Table54[[#This Row],[Difference]]</f>
        <v>56871.71455927052</v>
      </c>
      <c r="O57" s="18"/>
      <c r="P57" s="18" t="s">
        <v>29</v>
      </c>
      <c r="Q57" s="18" t="s">
        <v>86</v>
      </c>
      <c r="R57" s="18" t="s">
        <v>343</v>
      </c>
      <c r="S57" s="22"/>
      <c r="T57" s="193"/>
    </row>
    <row r="58" spans="1:20" hidden="1" x14ac:dyDescent="0.2">
      <c r="A58" s="23" t="s">
        <v>34</v>
      </c>
      <c r="B58" s="15"/>
      <c r="C58" s="24">
        <v>53</v>
      </c>
      <c r="D58" s="24" t="s">
        <v>34</v>
      </c>
      <c r="E58" s="15" t="s">
        <v>106</v>
      </c>
      <c r="F58" s="17">
        <v>42887</v>
      </c>
      <c r="G58" s="18"/>
      <c r="H58" s="18"/>
      <c r="I58" s="20">
        <v>0</v>
      </c>
      <c r="J58" s="20"/>
      <c r="K58" s="18"/>
      <c r="L58" s="18">
        <v>9800</v>
      </c>
      <c r="M58" s="18">
        <f>Table54[[#This Row],[Credit]]-Table54[[#This Row],[Debit]]</f>
        <v>-9800</v>
      </c>
      <c r="N58" s="18">
        <f>N57+Table54[[#This Row],[Difference]]</f>
        <v>47071.71455927052</v>
      </c>
      <c r="O58" s="18"/>
      <c r="P58" s="18" t="s">
        <v>29</v>
      </c>
      <c r="Q58" s="18" t="s">
        <v>86</v>
      </c>
      <c r="R58" s="18" t="s">
        <v>343</v>
      </c>
      <c r="S58" s="22"/>
      <c r="T58" s="193"/>
    </row>
    <row r="59" spans="1:20" hidden="1" x14ac:dyDescent="0.2">
      <c r="A59" s="23" t="s">
        <v>34</v>
      </c>
      <c r="B59" s="15"/>
      <c r="C59" s="24">
        <v>54</v>
      </c>
      <c r="D59" s="24" t="s">
        <v>34</v>
      </c>
      <c r="E59" s="15" t="s">
        <v>107</v>
      </c>
      <c r="F59" s="17">
        <v>42887</v>
      </c>
      <c r="G59" s="18"/>
      <c r="H59" s="18"/>
      <c r="I59" s="20">
        <v>0</v>
      </c>
      <c r="J59" s="20"/>
      <c r="K59" s="18"/>
      <c r="L59" s="18">
        <v>9800</v>
      </c>
      <c r="M59" s="18">
        <f>Table54[[#This Row],[Credit]]-Table54[[#This Row],[Debit]]</f>
        <v>-9800</v>
      </c>
      <c r="N59" s="18">
        <f>N58+Table54[[#This Row],[Difference]]</f>
        <v>37271.71455927052</v>
      </c>
      <c r="O59" s="18"/>
      <c r="P59" s="18" t="s">
        <v>29</v>
      </c>
      <c r="Q59" s="18" t="s">
        <v>86</v>
      </c>
      <c r="R59" s="18" t="s">
        <v>343</v>
      </c>
      <c r="S59" s="22"/>
      <c r="T59" s="193"/>
    </row>
    <row r="60" spans="1:20" hidden="1" x14ac:dyDescent="0.2">
      <c r="A60" s="23" t="s">
        <v>34</v>
      </c>
      <c r="B60" s="15"/>
      <c r="C60" s="24">
        <v>55</v>
      </c>
      <c r="D60" s="24" t="s">
        <v>34</v>
      </c>
      <c r="E60" s="15" t="s">
        <v>108</v>
      </c>
      <c r="F60" s="17">
        <v>42887</v>
      </c>
      <c r="G60" s="18"/>
      <c r="H60" s="18"/>
      <c r="I60" s="20">
        <v>0</v>
      </c>
      <c r="J60" s="20"/>
      <c r="K60" s="18"/>
      <c r="L60" s="18">
        <v>8000</v>
      </c>
      <c r="M60" s="18">
        <f>Table54[[#This Row],[Credit]]-Table54[[#This Row],[Debit]]</f>
        <v>-8000</v>
      </c>
      <c r="N60" s="18">
        <f>N59+Table54[[#This Row],[Difference]]</f>
        <v>29271.71455927052</v>
      </c>
      <c r="O60" s="18"/>
      <c r="P60" s="18" t="s">
        <v>29</v>
      </c>
      <c r="Q60" s="18" t="s">
        <v>86</v>
      </c>
      <c r="R60" s="18" t="s">
        <v>343</v>
      </c>
      <c r="S60" s="22"/>
      <c r="T60" s="193"/>
    </row>
    <row r="61" spans="1:20" hidden="1" x14ac:dyDescent="0.2">
      <c r="A61" s="23" t="s">
        <v>34</v>
      </c>
      <c r="B61" s="15"/>
      <c r="C61" s="24">
        <v>56</v>
      </c>
      <c r="D61" s="24" t="s">
        <v>34</v>
      </c>
      <c r="E61" s="15" t="s">
        <v>109</v>
      </c>
      <c r="F61" s="17">
        <v>42887</v>
      </c>
      <c r="G61" s="18"/>
      <c r="H61" s="18"/>
      <c r="I61" s="20">
        <v>0</v>
      </c>
      <c r="J61" s="20"/>
      <c r="K61" s="18"/>
      <c r="L61" s="18">
        <v>1200</v>
      </c>
      <c r="M61" s="18">
        <f>Table54[[#This Row],[Credit]]-Table54[[#This Row],[Debit]]</f>
        <v>-1200</v>
      </c>
      <c r="N61" s="18">
        <f>N60+Table54[[#This Row],[Difference]]</f>
        <v>28071.71455927052</v>
      </c>
      <c r="O61" s="18"/>
      <c r="P61" s="18" t="s">
        <v>29</v>
      </c>
      <c r="Q61" s="18" t="s">
        <v>86</v>
      </c>
      <c r="R61" s="18" t="s">
        <v>343</v>
      </c>
      <c r="S61" s="22"/>
      <c r="T61" s="193"/>
    </row>
    <row r="62" spans="1:20" hidden="1" x14ac:dyDescent="0.2">
      <c r="A62" s="23" t="s">
        <v>34</v>
      </c>
      <c r="B62" s="15"/>
      <c r="C62" s="24">
        <v>57</v>
      </c>
      <c r="D62" s="24" t="s">
        <v>34</v>
      </c>
      <c r="E62" s="10" t="s">
        <v>110</v>
      </c>
      <c r="F62" s="17">
        <v>42887</v>
      </c>
      <c r="G62" s="18"/>
      <c r="H62" s="18"/>
      <c r="I62" s="20">
        <v>0</v>
      </c>
      <c r="J62" s="20"/>
      <c r="K62" s="18"/>
      <c r="L62" s="18">
        <v>1000</v>
      </c>
      <c r="M62" s="18">
        <f>Table54[[#This Row],[Credit]]-Table54[[#This Row],[Debit]]</f>
        <v>-1000</v>
      </c>
      <c r="N62" s="18">
        <f>N61+Table54[[#This Row],[Difference]]</f>
        <v>27071.71455927052</v>
      </c>
      <c r="O62" s="18"/>
      <c r="P62" s="18" t="s">
        <v>29</v>
      </c>
      <c r="Q62" s="18" t="s">
        <v>44</v>
      </c>
      <c r="R62" s="22"/>
      <c r="S62" s="22"/>
      <c r="T62" s="193"/>
    </row>
    <row r="63" spans="1:20" hidden="1" x14ac:dyDescent="0.2">
      <c r="A63" s="23" t="s">
        <v>34</v>
      </c>
      <c r="B63" s="15"/>
      <c r="C63" s="24">
        <v>58</v>
      </c>
      <c r="D63" s="24" t="s">
        <v>34</v>
      </c>
      <c r="E63" s="15" t="s">
        <v>111</v>
      </c>
      <c r="F63" s="17">
        <v>42893</v>
      </c>
      <c r="G63" s="18"/>
      <c r="H63" s="18"/>
      <c r="I63" s="20">
        <v>0</v>
      </c>
      <c r="J63" s="20"/>
      <c r="K63" s="18"/>
      <c r="L63" s="18">
        <v>1708</v>
      </c>
      <c r="M63" s="18">
        <f>Table54[[#This Row],[Credit]]-Table54[[#This Row],[Debit]]</f>
        <v>-1708</v>
      </c>
      <c r="N63" s="18">
        <f>N62+Table54[[#This Row],[Difference]]</f>
        <v>25363.71455927052</v>
      </c>
      <c r="O63" s="18"/>
      <c r="P63" s="18" t="s">
        <v>29</v>
      </c>
      <c r="Q63" s="18" t="s">
        <v>112</v>
      </c>
      <c r="R63" s="22"/>
      <c r="S63" s="22"/>
      <c r="T63" s="193" t="s">
        <v>342</v>
      </c>
    </row>
    <row r="64" spans="1:20" hidden="1" x14ac:dyDescent="0.2">
      <c r="A64" s="23" t="s">
        <v>34</v>
      </c>
      <c r="B64" s="15"/>
      <c r="C64" s="24">
        <v>59</v>
      </c>
      <c r="D64" s="24" t="s">
        <v>34</v>
      </c>
      <c r="E64" s="15" t="s">
        <v>279</v>
      </c>
      <c r="F64" s="17">
        <v>42893</v>
      </c>
      <c r="G64" s="18"/>
      <c r="H64" s="18"/>
      <c r="I64" s="20">
        <v>0</v>
      </c>
      <c r="J64" s="20"/>
      <c r="K64" s="18"/>
      <c r="L64" s="18">
        <v>3023</v>
      </c>
      <c r="M64" s="18">
        <f>Table54[[#This Row],[Credit]]-Table54[[#This Row],[Debit]]</f>
        <v>-3023</v>
      </c>
      <c r="N64" s="18">
        <f>N63+Table54[[#This Row],[Difference]]</f>
        <v>22340.71455927052</v>
      </c>
      <c r="O64" s="18"/>
      <c r="P64" s="18" t="s">
        <v>29</v>
      </c>
      <c r="Q64" s="18" t="s">
        <v>30</v>
      </c>
      <c r="R64" s="18" t="s">
        <v>341</v>
      </c>
      <c r="S64" s="22"/>
      <c r="T64" s="193"/>
    </row>
    <row r="65" spans="1:20" hidden="1" x14ac:dyDescent="0.2">
      <c r="A65" s="23" t="s">
        <v>34</v>
      </c>
      <c r="B65" s="15"/>
      <c r="C65" s="24">
        <v>60</v>
      </c>
      <c r="D65" s="24" t="s">
        <v>34</v>
      </c>
      <c r="E65" s="148" t="s">
        <v>315</v>
      </c>
      <c r="F65" s="17">
        <v>42894</v>
      </c>
      <c r="G65" s="18"/>
      <c r="H65" s="18"/>
      <c r="I65" s="20">
        <v>0</v>
      </c>
      <c r="J65" s="20"/>
      <c r="K65" s="25">
        <v>106927</v>
      </c>
      <c r="L65" s="18"/>
      <c r="M65" s="18">
        <f>Table54[[#This Row],[Credit]]-Table54[[#This Row],[Debit]]</f>
        <v>106927</v>
      </c>
      <c r="N65" s="18">
        <f>N64+Table54[[#This Row],[Difference]]</f>
        <v>129267.71455927052</v>
      </c>
      <c r="O65" s="18"/>
      <c r="P65" s="18" t="s">
        <v>25</v>
      </c>
      <c r="Q65" s="18" t="s">
        <v>48</v>
      </c>
      <c r="R65" s="18" t="s">
        <v>343</v>
      </c>
      <c r="S65" s="22"/>
      <c r="T65" s="193"/>
    </row>
    <row r="66" spans="1:20" hidden="1" x14ac:dyDescent="0.2">
      <c r="A66" s="23" t="s">
        <v>34</v>
      </c>
      <c r="B66" s="15"/>
      <c r="C66" s="24">
        <v>61</v>
      </c>
      <c r="D66" s="24" t="s">
        <v>34</v>
      </c>
      <c r="E66" s="15" t="s">
        <v>113</v>
      </c>
      <c r="F66" s="17">
        <v>42894</v>
      </c>
      <c r="G66" s="18"/>
      <c r="H66" s="18"/>
      <c r="I66" s="20">
        <v>0</v>
      </c>
      <c r="J66" s="20"/>
      <c r="K66" s="18"/>
      <c r="L66" s="18">
        <v>1523</v>
      </c>
      <c r="M66" s="18">
        <f>Table54[[#This Row],[Credit]]-Table54[[#This Row],[Debit]]</f>
        <v>-1523</v>
      </c>
      <c r="N66" s="18">
        <f>N65+Table54[[#This Row],[Difference]]</f>
        <v>127744.71455927052</v>
      </c>
      <c r="O66" s="18"/>
      <c r="P66" s="18" t="s">
        <v>29</v>
      </c>
      <c r="Q66" s="18" t="s">
        <v>30</v>
      </c>
      <c r="R66" s="18" t="s">
        <v>341</v>
      </c>
      <c r="S66" s="22"/>
      <c r="T66" s="193"/>
    </row>
    <row r="67" spans="1:20" hidden="1" x14ac:dyDescent="0.2">
      <c r="A67" s="23" t="s">
        <v>34</v>
      </c>
      <c r="B67" s="15"/>
      <c r="C67" s="24">
        <v>62</v>
      </c>
      <c r="D67" s="24" t="s">
        <v>34</v>
      </c>
      <c r="E67" s="10" t="s">
        <v>114</v>
      </c>
      <c r="F67" s="17">
        <v>42900</v>
      </c>
      <c r="G67" s="18"/>
      <c r="H67" s="18"/>
      <c r="I67" s="20">
        <v>0</v>
      </c>
      <c r="J67" s="20"/>
      <c r="K67" s="18"/>
      <c r="L67" s="18">
        <v>16223</v>
      </c>
      <c r="M67" s="18">
        <f>Table54[[#This Row],[Credit]]-Table54[[#This Row],[Debit]]</f>
        <v>-16223</v>
      </c>
      <c r="N67" s="18">
        <f>N66+Table54[[#This Row],[Difference]]</f>
        <v>111521.71455927052</v>
      </c>
      <c r="O67" s="18"/>
      <c r="P67" s="18" t="s">
        <v>29</v>
      </c>
      <c r="Q67" s="18" t="s">
        <v>44</v>
      </c>
      <c r="R67" s="22"/>
      <c r="S67" s="22"/>
      <c r="T67" s="193"/>
    </row>
    <row r="68" spans="1:20" hidden="1" x14ac:dyDescent="0.2">
      <c r="A68" s="23" t="s">
        <v>34</v>
      </c>
      <c r="B68" s="15"/>
      <c r="C68" s="24">
        <v>63</v>
      </c>
      <c r="D68" s="24" t="s">
        <v>34</v>
      </c>
      <c r="E68" s="15" t="s">
        <v>115</v>
      </c>
      <c r="F68" s="17">
        <v>42900</v>
      </c>
      <c r="G68" s="18"/>
      <c r="H68" s="18"/>
      <c r="I68" s="20">
        <v>0</v>
      </c>
      <c r="J68" s="20"/>
      <c r="K68" s="18"/>
      <c r="L68" s="18">
        <v>3799</v>
      </c>
      <c r="M68" s="18">
        <f>Table54[[#This Row],[Credit]]-Table54[[#This Row],[Debit]]</f>
        <v>-3799</v>
      </c>
      <c r="N68" s="18">
        <f>N67+Table54[[#This Row],[Difference]]</f>
        <v>107722.71455927052</v>
      </c>
      <c r="O68" s="18"/>
      <c r="P68" s="18" t="s">
        <v>29</v>
      </c>
      <c r="Q68" s="18" t="s">
        <v>30</v>
      </c>
      <c r="R68" s="22"/>
      <c r="S68" s="22"/>
      <c r="T68" s="193" t="s">
        <v>342</v>
      </c>
    </row>
    <row r="69" spans="1:20" hidden="1" x14ac:dyDescent="0.2">
      <c r="A69" s="23" t="s">
        <v>34</v>
      </c>
      <c r="B69" s="15"/>
      <c r="C69" s="24">
        <v>64</v>
      </c>
      <c r="D69" s="24" t="s">
        <v>34</v>
      </c>
      <c r="E69" s="10" t="s">
        <v>116</v>
      </c>
      <c r="F69" s="17">
        <v>42900</v>
      </c>
      <c r="G69" s="18"/>
      <c r="H69" s="18"/>
      <c r="I69" s="20">
        <v>0</v>
      </c>
      <c r="J69" s="20"/>
      <c r="K69" s="18"/>
      <c r="L69" s="18">
        <v>287.5</v>
      </c>
      <c r="M69" s="18">
        <f>Table54[[#This Row],[Credit]]-Table54[[#This Row],[Debit]]</f>
        <v>-287.5</v>
      </c>
      <c r="N69" s="18">
        <f>N68+Table54[[#This Row],[Difference]]</f>
        <v>107435.21455927052</v>
      </c>
      <c r="O69" s="18"/>
      <c r="P69" s="18" t="s">
        <v>81</v>
      </c>
      <c r="Q69" s="18" t="s">
        <v>82</v>
      </c>
      <c r="R69" s="22"/>
      <c r="S69" s="22"/>
      <c r="T69" s="193"/>
    </row>
    <row r="70" spans="1:20" hidden="1" x14ac:dyDescent="0.2">
      <c r="A70" s="23" t="s">
        <v>34</v>
      </c>
      <c r="B70" s="15"/>
      <c r="C70" s="24">
        <v>65</v>
      </c>
      <c r="D70" s="24" t="s">
        <v>34</v>
      </c>
      <c r="E70" s="10" t="s">
        <v>117</v>
      </c>
      <c r="F70" s="17">
        <v>42900</v>
      </c>
      <c r="G70" s="18"/>
      <c r="H70" s="18"/>
      <c r="I70" s="20">
        <v>0</v>
      </c>
      <c r="J70" s="20"/>
      <c r="K70" s="18"/>
      <c r="L70" s="18">
        <v>28.75</v>
      </c>
      <c r="M70" s="18">
        <f>Table54[[#This Row],[Credit]]-Table54[[#This Row],[Debit]]</f>
        <v>-28.75</v>
      </c>
      <c r="N70" s="18">
        <f>N69+Table54[[#This Row],[Difference]]</f>
        <v>107406.46455927052</v>
      </c>
      <c r="O70" s="18"/>
      <c r="P70" s="18" t="s">
        <v>81</v>
      </c>
      <c r="Q70" s="18" t="s">
        <v>82</v>
      </c>
      <c r="R70" s="22"/>
      <c r="S70" s="22"/>
      <c r="T70" s="193"/>
    </row>
    <row r="71" spans="1:20" hidden="1" x14ac:dyDescent="0.2">
      <c r="A71" s="14" t="s">
        <v>22</v>
      </c>
      <c r="B71" s="15"/>
      <c r="C71" s="16">
        <v>66</v>
      </c>
      <c r="D71" s="16" t="s">
        <v>23</v>
      </c>
      <c r="E71" s="10" t="s">
        <v>117</v>
      </c>
      <c r="F71" s="17">
        <v>42900</v>
      </c>
      <c r="G71" s="18"/>
      <c r="H71" s="18"/>
      <c r="I71" s="20">
        <v>0</v>
      </c>
      <c r="J71" s="20"/>
      <c r="K71" s="18"/>
      <c r="L71" s="18">
        <v>28.75</v>
      </c>
      <c r="M71" s="18">
        <f>Table54[[#This Row],[Credit]]-Table54[[#This Row],[Debit]]</f>
        <v>-28.75</v>
      </c>
      <c r="N71" s="18">
        <f>N70+Table54[[#This Row],[Difference]]</f>
        <v>107377.71455927052</v>
      </c>
      <c r="O71" s="18"/>
      <c r="P71" s="18" t="s">
        <v>81</v>
      </c>
      <c r="Q71" s="18" t="s">
        <v>82</v>
      </c>
      <c r="R71" s="22"/>
      <c r="S71" s="22"/>
      <c r="T71" s="193"/>
    </row>
    <row r="72" spans="1:20" hidden="1" x14ac:dyDescent="0.2">
      <c r="A72" s="14" t="s">
        <v>22</v>
      </c>
      <c r="B72" s="15"/>
      <c r="C72" s="16">
        <v>67</v>
      </c>
      <c r="D72" s="16" t="s">
        <v>23</v>
      </c>
      <c r="E72" s="10" t="s">
        <v>118</v>
      </c>
      <c r="F72" s="17">
        <v>42901</v>
      </c>
      <c r="G72" s="18"/>
      <c r="H72" s="18"/>
      <c r="I72" s="20">
        <v>0</v>
      </c>
      <c r="J72" s="20"/>
      <c r="K72" s="18"/>
      <c r="L72" s="18">
        <v>862.5</v>
      </c>
      <c r="M72" s="18">
        <f>Table54[[#This Row],[Credit]]-Table54[[#This Row],[Debit]]</f>
        <v>-862.5</v>
      </c>
      <c r="N72" s="18">
        <f>N71+Table54[[#This Row],[Difference]]</f>
        <v>106515.21455927052</v>
      </c>
      <c r="O72" s="18"/>
      <c r="P72" s="18" t="s">
        <v>81</v>
      </c>
      <c r="Q72" s="18" t="s">
        <v>82</v>
      </c>
      <c r="R72" s="22"/>
      <c r="S72" s="22"/>
      <c r="T72" s="193"/>
    </row>
    <row r="73" spans="1:20" hidden="1" x14ac:dyDescent="0.2">
      <c r="A73" s="23" t="s">
        <v>34</v>
      </c>
      <c r="B73" s="15"/>
      <c r="C73" s="24">
        <v>68</v>
      </c>
      <c r="D73" s="24" t="s">
        <v>34</v>
      </c>
      <c r="E73" s="10" t="s">
        <v>119</v>
      </c>
      <c r="F73" s="17">
        <v>42902</v>
      </c>
      <c r="G73" s="18"/>
      <c r="H73" s="18"/>
      <c r="I73" s="20">
        <v>0</v>
      </c>
      <c r="J73" s="20"/>
      <c r="K73" s="18"/>
      <c r="L73" s="18">
        <v>4009.22</v>
      </c>
      <c r="M73" s="18">
        <f>Table54[[#This Row],[Credit]]-Table54[[#This Row],[Debit]]</f>
        <v>-4009.22</v>
      </c>
      <c r="N73" s="18">
        <f>N72+Table54[[#This Row],[Difference]]</f>
        <v>102505.99455927052</v>
      </c>
      <c r="O73" s="18"/>
      <c r="P73" s="18" t="s">
        <v>29</v>
      </c>
      <c r="Q73" s="18" t="s">
        <v>79</v>
      </c>
      <c r="R73" s="22"/>
      <c r="S73" s="22"/>
      <c r="T73" s="193"/>
    </row>
    <row r="74" spans="1:20" hidden="1" x14ac:dyDescent="0.2">
      <c r="A74" s="23" t="s">
        <v>34</v>
      </c>
      <c r="B74" s="15"/>
      <c r="C74" s="24">
        <v>69</v>
      </c>
      <c r="D74" s="24" t="s">
        <v>34</v>
      </c>
      <c r="E74" s="10" t="s">
        <v>120</v>
      </c>
      <c r="F74" s="17">
        <v>42908</v>
      </c>
      <c r="G74" s="18"/>
      <c r="H74" s="18"/>
      <c r="I74" s="20">
        <v>0</v>
      </c>
      <c r="J74" s="20"/>
      <c r="K74" s="18"/>
      <c r="L74" s="18">
        <v>14.89</v>
      </c>
      <c r="M74" s="18">
        <f>Table54[[#This Row],[Credit]]-Table54[[#This Row],[Debit]]</f>
        <v>-14.89</v>
      </c>
      <c r="N74" s="18">
        <f>N73+Table54[[#This Row],[Difference]]</f>
        <v>102491.10455927052</v>
      </c>
      <c r="O74" s="18"/>
      <c r="P74" s="18" t="s">
        <v>29</v>
      </c>
      <c r="Q74" s="18" t="s">
        <v>79</v>
      </c>
      <c r="R74" s="22"/>
      <c r="S74" s="22"/>
      <c r="T74" s="193"/>
    </row>
    <row r="75" spans="1:20" hidden="1" x14ac:dyDescent="0.2">
      <c r="A75" s="23" t="s">
        <v>34</v>
      </c>
      <c r="B75" s="15"/>
      <c r="C75" s="24">
        <v>70</v>
      </c>
      <c r="D75" s="24" t="s">
        <v>34</v>
      </c>
      <c r="E75" s="15" t="s">
        <v>121</v>
      </c>
      <c r="F75" s="17">
        <v>42913</v>
      </c>
      <c r="G75" s="18"/>
      <c r="H75" s="18"/>
      <c r="I75" s="20">
        <v>0</v>
      </c>
      <c r="J75" s="20"/>
      <c r="K75" s="18"/>
      <c r="L75" s="18">
        <v>5000</v>
      </c>
      <c r="M75" s="18">
        <f>Table54[[#This Row],[Credit]]-Table54[[#This Row],[Debit]]</f>
        <v>-5000</v>
      </c>
      <c r="N75" s="18">
        <f>N74+Table54[[#This Row],[Difference]]</f>
        <v>97491.10455927052</v>
      </c>
      <c r="O75" s="18"/>
      <c r="P75" s="18" t="s">
        <v>81</v>
      </c>
      <c r="Q75" s="18" t="s">
        <v>48</v>
      </c>
      <c r="R75" s="18" t="s">
        <v>343</v>
      </c>
      <c r="S75" s="22"/>
      <c r="T75" s="193"/>
    </row>
    <row r="76" spans="1:20" hidden="1" x14ac:dyDescent="0.2">
      <c r="A76" s="14" t="s">
        <v>22</v>
      </c>
      <c r="B76" s="15"/>
      <c r="C76" s="16">
        <v>71</v>
      </c>
      <c r="D76" s="16" t="s">
        <v>23</v>
      </c>
      <c r="E76" s="10" t="s">
        <v>122</v>
      </c>
      <c r="F76" s="17">
        <v>42914</v>
      </c>
      <c r="G76" s="18"/>
      <c r="H76" s="18"/>
      <c r="I76" s="20">
        <v>0</v>
      </c>
      <c r="J76" s="20"/>
      <c r="K76" s="18">
        <v>5000</v>
      </c>
      <c r="L76" s="18"/>
      <c r="M76" s="18">
        <f>Table54[[#This Row],[Credit]]-Table54[[#This Row],[Debit]]</f>
        <v>5000</v>
      </c>
      <c r="N76" s="18">
        <f>N75+Table54[[#This Row],[Difference]]</f>
        <v>102491.10455927052</v>
      </c>
      <c r="O76" s="18"/>
      <c r="P76" s="18" t="s">
        <v>81</v>
      </c>
      <c r="Q76" s="18" t="s">
        <v>48</v>
      </c>
      <c r="R76" s="22"/>
      <c r="S76" s="22"/>
      <c r="T76" s="193"/>
    </row>
    <row r="77" spans="1:20" hidden="1" x14ac:dyDescent="0.2">
      <c r="A77" s="23" t="s">
        <v>34</v>
      </c>
      <c r="B77" s="15"/>
      <c r="C77" s="24">
        <v>72</v>
      </c>
      <c r="D77" s="24" t="s">
        <v>34</v>
      </c>
      <c r="E77" s="15" t="s">
        <v>123</v>
      </c>
      <c r="F77" s="17">
        <v>42919</v>
      </c>
      <c r="G77" s="18"/>
      <c r="H77" s="18"/>
      <c r="I77" s="20">
        <v>0</v>
      </c>
      <c r="J77" s="20"/>
      <c r="K77" s="18"/>
      <c r="L77" s="18">
        <v>8000</v>
      </c>
      <c r="M77" s="18">
        <f>Table54[[#This Row],[Credit]]-Table54[[#This Row],[Debit]]</f>
        <v>-8000</v>
      </c>
      <c r="N77" s="18">
        <f>N76+Table54[[#This Row],[Difference]]</f>
        <v>94491.10455927052</v>
      </c>
      <c r="O77" s="18"/>
      <c r="P77" s="18" t="s">
        <v>29</v>
      </c>
      <c r="Q77" s="18" t="s">
        <v>86</v>
      </c>
      <c r="R77" s="18" t="s">
        <v>343</v>
      </c>
      <c r="S77" s="22"/>
      <c r="T77" s="193"/>
    </row>
    <row r="78" spans="1:20" hidden="1" x14ac:dyDescent="0.2">
      <c r="A78" s="23" t="s">
        <v>34</v>
      </c>
      <c r="B78" s="15"/>
      <c r="C78" s="24">
        <v>73</v>
      </c>
      <c r="D78" s="24" t="s">
        <v>34</v>
      </c>
      <c r="E78" s="15" t="s">
        <v>124</v>
      </c>
      <c r="F78" s="17">
        <v>42919</v>
      </c>
      <c r="G78" s="18"/>
      <c r="H78" s="18"/>
      <c r="I78" s="20">
        <v>0</v>
      </c>
      <c r="J78" s="20"/>
      <c r="K78" s="18"/>
      <c r="L78" s="18">
        <v>9800</v>
      </c>
      <c r="M78" s="18">
        <f>Table54[[#This Row],[Credit]]-Table54[[#This Row],[Debit]]</f>
        <v>-9800</v>
      </c>
      <c r="N78" s="18">
        <f>N77+Table54[[#This Row],[Difference]]</f>
        <v>84691.10455927052</v>
      </c>
      <c r="O78" s="18"/>
      <c r="P78" s="18" t="s">
        <v>29</v>
      </c>
      <c r="Q78" s="18" t="s">
        <v>86</v>
      </c>
      <c r="R78" s="18" t="s">
        <v>343</v>
      </c>
      <c r="S78" s="22"/>
      <c r="T78" s="193"/>
    </row>
    <row r="79" spans="1:20" hidden="1" x14ac:dyDescent="0.2">
      <c r="A79" s="23" t="s">
        <v>34</v>
      </c>
      <c r="B79" s="15"/>
      <c r="C79" s="24">
        <v>74</v>
      </c>
      <c r="D79" s="24" t="s">
        <v>34</v>
      </c>
      <c r="E79" s="15" t="s">
        <v>125</v>
      </c>
      <c r="F79" s="17">
        <v>42919</v>
      </c>
      <c r="G79" s="18"/>
      <c r="H79" s="18"/>
      <c r="I79" s="20">
        <v>0</v>
      </c>
      <c r="J79" s="20"/>
      <c r="K79" s="18"/>
      <c r="L79" s="18">
        <v>9800</v>
      </c>
      <c r="M79" s="18">
        <f>Table54[[#This Row],[Credit]]-Table54[[#This Row],[Debit]]</f>
        <v>-9800</v>
      </c>
      <c r="N79" s="18">
        <f>N78+Table54[[#This Row],[Difference]]</f>
        <v>74891.10455927052</v>
      </c>
      <c r="O79" s="18"/>
      <c r="P79" s="18" t="s">
        <v>29</v>
      </c>
      <c r="Q79" s="18" t="s">
        <v>86</v>
      </c>
      <c r="R79" s="18" t="s">
        <v>343</v>
      </c>
      <c r="S79" s="22"/>
      <c r="T79" s="193"/>
    </row>
    <row r="80" spans="1:20" hidden="1" x14ac:dyDescent="0.2">
      <c r="A80" s="39" t="s">
        <v>34</v>
      </c>
      <c r="B80" s="40"/>
      <c r="C80" s="24">
        <v>75</v>
      </c>
      <c r="D80" s="24" t="s">
        <v>34</v>
      </c>
      <c r="E80" s="15" t="s">
        <v>126</v>
      </c>
      <c r="F80" s="17">
        <v>42920</v>
      </c>
      <c r="G80" s="18"/>
      <c r="H80" s="18"/>
      <c r="I80" s="20">
        <v>0</v>
      </c>
      <c r="J80" s="20"/>
      <c r="K80" s="18"/>
      <c r="L80" s="18">
        <v>922</v>
      </c>
      <c r="M80" s="18">
        <f>Table54[[#This Row],[Credit]]-Table54[[#This Row],[Debit]]</f>
        <v>-922</v>
      </c>
      <c r="N80" s="18">
        <f>N79+Table54[[#This Row],[Difference]]</f>
        <v>73969.10455927052</v>
      </c>
      <c r="O80" s="18"/>
      <c r="P80" s="18" t="s">
        <v>29</v>
      </c>
      <c r="Q80" s="41" t="s">
        <v>44</v>
      </c>
      <c r="R80" s="22"/>
      <c r="S80" s="22"/>
      <c r="T80" s="193"/>
    </row>
    <row r="81" spans="1:20" hidden="1" x14ac:dyDescent="0.2">
      <c r="A81" s="39" t="s">
        <v>34</v>
      </c>
      <c r="B81" s="40"/>
      <c r="C81" s="24">
        <v>76</v>
      </c>
      <c r="D81" s="24" t="s">
        <v>34</v>
      </c>
      <c r="E81" s="15" t="s">
        <v>111</v>
      </c>
      <c r="F81" s="17">
        <v>42920</v>
      </c>
      <c r="G81" s="18"/>
      <c r="H81" s="18"/>
      <c r="I81" s="20">
        <v>0</v>
      </c>
      <c r="J81" s="20"/>
      <c r="K81" s="18"/>
      <c r="L81" s="18">
        <v>1086</v>
      </c>
      <c r="M81" s="18">
        <f>Table54[[#This Row],[Credit]]-Table54[[#This Row],[Debit]]</f>
        <v>-1086</v>
      </c>
      <c r="N81" s="18">
        <f>N80+Table54[[#This Row],[Difference]]</f>
        <v>72883.10455927052</v>
      </c>
      <c r="O81" s="18"/>
      <c r="P81" s="18" t="s">
        <v>29</v>
      </c>
      <c r="Q81" s="41" t="s">
        <v>112</v>
      </c>
      <c r="R81" s="22"/>
      <c r="S81" s="22"/>
      <c r="T81" s="193" t="s">
        <v>342</v>
      </c>
    </row>
    <row r="82" spans="1:20" s="44" customFormat="1" hidden="1" x14ac:dyDescent="0.2">
      <c r="A82" s="39" t="s">
        <v>34</v>
      </c>
      <c r="B82" s="40"/>
      <c r="C82" s="42">
        <v>77</v>
      </c>
      <c r="D82" s="24" t="s">
        <v>34</v>
      </c>
      <c r="E82" s="176" t="s">
        <v>127</v>
      </c>
      <c r="F82" s="26">
        <v>42921</v>
      </c>
      <c r="G82" s="27"/>
      <c r="H82" s="27"/>
      <c r="I82" s="20">
        <v>0</v>
      </c>
      <c r="J82" s="31"/>
      <c r="K82" s="27"/>
      <c r="L82" s="27">
        <v>1200</v>
      </c>
      <c r="M82" s="18">
        <f>Table54[[#This Row],[Credit]]-Table54[[#This Row],[Debit]]</f>
        <v>-1200</v>
      </c>
      <c r="N82" s="18">
        <f>N81+Table54[[#This Row],[Difference]]</f>
        <v>71683.10455927052</v>
      </c>
      <c r="O82" s="27"/>
      <c r="P82" s="18" t="s">
        <v>29</v>
      </c>
      <c r="Q82" s="43" t="s">
        <v>86</v>
      </c>
      <c r="R82" s="18" t="s">
        <v>343</v>
      </c>
      <c r="S82" s="22"/>
      <c r="T82" s="193"/>
    </row>
    <row r="83" spans="1:20" hidden="1" x14ac:dyDescent="0.2">
      <c r="A83" s="23" t="s">
        <v>34</v>
      </c>
      <c r="C83" s="24">
        <v>78</v>
      </c>
      <c r="D83" s="24" t="s">
        <v>34</v>
      </c>
      <c r="E83" s="10" t="s">
        <v>128</v>
      </c>
      <c r="F83" s="17">
        <v>42923</v>
      </c>
      <c r="G83" s="18"/>
      <c r="H83" s="18"/>
      <c r="I83" s="20">
        <v>0</v>
      </c>
      <c r="J83" s="20"/>
      <c r="K83" s="18"/>
      <c r="L83" s="18">
        <v>5000</v>
      </c>
      <c r="M83" s="18">
        <f>Table54[[#This Row],[Credit]]-Table54[[#This Row],[Debit]]</f>
        <v>-5000</v>
      </c>
      <c r="N83" s="18">
        <f>N82+Table54[[#This Row],[Difference]]</f>
        <v>66683.10455927052</v>
      </c>
      <c r="O83" s="18"/>
      <c r="P83" s="18" t="s">
        <v>29</v>
      </c>
      <c r="Q83" s="18" t="s">
        <v>38</v>
      </c>
      <c r="R83" s="22"/>
      <c r="S83" s="22"/>
      <c r="T83" s="193" t="s">
        <v>342</v>
      </c>
    </row>
    <row r="84" spans="1:20" hidden="1" x14ac:dyDescent="0.2">
      <c r="A84" s="23" t="s">
        <v>34</v>
      </c>
      <c r="C84" s="42">
        <v>79</v>
      </c>
      <c r="D84" s="24" t="s">
        <v>34</v>
      </c>
      <c r="E84" s="15" t="s">
        <v>129</v>
      </c>
      <c r="F84" s="17">
        <v>42923</v>
      </c>
      <c r="G84" s="18"/>
      <c r="H84" s="18"/>
      <c r="I84" s="20">
        <v>0</v>
      </c>
      <c r="J84" s="20"/>
      <c r="K84" s="18"/>
      <c r="L84" s="18">
        <v>10350</v>
      </c>
      <c r="M84" s="18">
        <f>Table54[[#This Row],[Credit]]-Table54[[#This Row],[Debit]]</f>
        <v>-10350</v>
      </c>
      <c r="N84" s="18">
        <f>N83+Table54[[#This Row],[Difference]]</f>
        <v>56333.10455927052</v>
      </c>
      <c r="O84" s="18"/>
      <c r="P84" s="18" t="s">
        <v>29</v>
      </c>
      <c r="Q84" s="18" t="s">
        <v>79</v>
      </c>
      <c r="R84" s="22"/>
      <c r="S84" s="22"/>
      <c r="T84" s="193" t="s">
        <v>342</v>
      </c>
    </row>
    <row r="85" spans="1:20" hidden="1" x14ac:dyDescent="0.2">
      <c r="A85" s="23" t="s">
        <v>34</v>
      </c>
      <c r="C85" s="24">
        <v>80</v>
      </c>
      <c r="D85" s="24" t="s">
        <v>34</v>
      </c>
      <c r="E85" s="15" t="s">
        <v>130</v>
      </c>
      <c r="F85" s="17">
        <v>42926</v>
      </c>
      <c r="G85" s="18"/>
      <c r="H85" s="18"/>
      <c r="I85" s="20">
        <v>0</v>
      </c>
      <c r="J85" s="20"/>
      <c r="K85" s="18"/>
      <c r="L85" s="18">
        <v>975</v>
      </c>
      <c r="M85" s="18">
        <f>Table54[[#This Row],[Credit]]-Table54[[#This Row],[Debit]]</f>
        <v>-975</v>
      </c>
      <c r="N85" s="18">
        <f>N84+Table54[[#This Row],[Difference]]</f>
        <v>55358.10455927052</v>
      </c>
      <c r="O85" s="18"/>
      <c r="P85" s="18" t="s">
        <v>29</v>
      </c>
      <c r="Q85" s="41" t="s">
        <v>30</v>
      </c>
      <c r="R85" s="22"/>
      <c r="S85" s="22"/>
      <c r="T85" s="193" t="s">
        <v>335</v>
      </c>
    </row>
    <row r="86" spans="1:20" hidden="1" x14ac:dyDescent="0.2">
      <c r="A86" s="23" t="s">
        <v>34</v>
      </c>
      <c r="C86" s="24">
        <v>81</v>
      </c>
      <c r="D86" s="24" t="s">
        <v>34</v>
      </c>
      <c r="E86" s="10" t="s">
        <v>131</v>
      </c>
      <c r="F86" s="17">
        <v>42930</v>
      </c>
      <c r="G86" s="18"/>
      <c r="H86" s="18"/>
      <c r="I86" s="20">
        <v>0</v>
      </c>
      <c r="J86" s="20"/>
      <c r="K86" s="18"/>
      <c r="L86" s="18">
        <v>15525</v>
      </c>
      <c r="M86" s="18">
        <f>Table54[[#This Row],[Credit]]-Table54[[#This Row],[Debit]]</f>
        <v>-15525</v>
      </c>
      <c r="N86" s="18">
        <f>N85+Table54[[#This Row],[Difference]]</f>
        <v>39833.10455927052</v>
      </c>
      <c r="O86" s="18"/>
      <c r="P86" s="18" t="s">
        <v>29</v>
      </c>
      <c r="Q86" s="18" t="s">
        <v>79</v>
      </c>
      <c r="R86" s="22"/>
      <c r="S86" s="22"/>
      <c r="T86" s="193" t="s">
        <v>342</v>
      </c>
    </row>
    <row r="87" spans="1:20" hidden="1" x14ac:dyDescent="0.2">
      <c r="A87" s="23" t="s">
        <v>34</v>
      </c>
      <c r="C87" s="42">
        <v>82</v>
      </c>
      <c r="D87" s="24" t="s">
        <v>34</v>
      </c>
      <c r="E87" s="10" t="s">
        <v>132</v>
      </c>
      <c r="F87" s="17">
        <v>42933</v>
      </c>
      <c r="G87" s="18"/>
      <c r="H87" s="18"/>
      <c r="I87" s="20">
        <v>0</v>
      </c>
      <c r="J87" s="20"/>
      <c r="K87" s="18"/>
      <c r="L87" s="18">
        <v>1038</v>
      </c>
      <c r="M87" s="18">
        <f>Table54[[#This Row],[Credit]]-Table54[[#This Row],[Debit]]</f>
        <v>-1038</v>
      </c>
      <c r="N87" s="18">
        <f>N86+Table54[[#This Row],[Difference]]</f>
        <v>38795.10455927052</v>
      </c>
      <c r="O87" s="18"/>
      <c r="P87" s="18" t="s">
        <v>29</v>
      </c>
      <c r="Q87" s="41" t="s">
        <v>44</v>
      </c>
      <c r="R87" s="22"/>
      <c r="S87" s="22"/>
      <c r="T87" s="193"/>
    </row>
    <row r="88" spans="1:20" hidden="1" x14ac:dyDescent="0.2">
      <c r="A88" s="23" t="s">
        <v>34</v>
      </c>
      <c r="C88" s="24">
        <v>83</v>
      </c>
      <c r="D88" s="24" t="s">
        <v>34</v>
      </c>
      <c r="E88" s="10" t="s">
        <v>133</v>
      </c>
      <c r="F88" s="17">
        <v>42933</v>
      </c>
      <c r="G88" s="18"/>
      <c r="H88" s="18"/>
      <c r="I88" s="20">
        <v>0</v>
      </c>
      <c r="J88" s="20"/>
      <c r="K88" s="18"/>
      <c r="L88" s="18">
        <v>6190</v>
      </c>
      <c r="M88" s="18">
        <f>Table54[[#This Row],[Credit]]-Table54[[#This Row],[Debit]]</f>
        <v>-6190</v>
      </c>
      <c r="N88" s="18">
        <f>N87+Table54[[#This Row],[Difference]]</f>
        <v>32605.10455927052</v>
      </c>
      <c r="O88" s="18"/>
      <c r="P88" s="18" t="s">
        <v>29</v>
      </c>
      <c r="Q88" s="18" t="s">
        <v>38</v>
      </c>
      <c r="R88" s="22"/>
      <c r="S88" s="22"/>
      <c r="T88" s="193"/>
    </row>
    <row r="89" spans="1:20" hidden="1" x14ac:dyDescent="0.2">
      <c r="A89" s="23" t="s">
        <v>34</v>
      </c>
      <c r="C89" s="45">
        <v>84</v>
      </c>
      <c r="D89" s="24" t="s">
        <v>34</v>
      </c>
      <c r="E89" s="148" t="s">
        <v>315</v>
      </c>
      <c r="F89" s="17">
        <v>42937</v>
      </c>
      <c r="G89" s="18"/>
      <c r="H89" s="18"/>
      <c r="I89" s="20">
        <v>0</v>
      </c>
      <c r="J89" s="20"/>
      <c r="K89" s="25">
        <v>108462</v>
      </c>
      <c r="L89" s="18"/>
      <c r="M89" s="18">
        <f>Table54[[#This Row],[Credit]]-Table54[[#This Row],[Debit]]</f>
        <v>108462</v>
      </c>
      <c r="N89" s="18">
        <f>N88+Table54[[#This Row],[Difference]]</f>
        <v>141067.10455927052</v>
      </c>
      <c r="O89" s="18"/>
      <c r="P89" s="18" t="s">
        <v>25</v>
      </c>
      <c r="Q89" s="18" t="s">
        <v>48</v>
      </c>
      <c r="R89" s="18" t="s">
        <v>343</v>
      </c>
      <c r="S89" s="22"/>
      <c r="T89" s="193"/>
    </row>
    <row r="90" spans="1:20" hidden="1" x14ac:dyDescent="0.2">
      <c r="A90" s="23" t="s">
        <v>34</v>
      </c>
      <c r="C90" s="45">
        <v>85</v>
      </c>
      <c r="D90" s="24" t="s">
        <v>34</v>
      </c>
      <c r="E90" s="15" t="s">
        <v>102</v>
      </c>
      <c r="F90" s="17">
        <v>42940</v>
      </c>
      <c r="G90" s="18"/>
      <c r="H90" s="18"/>
      <c r="I90" s="20">
        <v>0</v>
      </c>
      <c r="J90" s="20"/>
      <c r="K90" s="18"/>
      <c r="L90" s="18">
        <v>880</v>
      </c>
      <c r="M90" s="18">
        <f>Table54[[#This Row],[Credit]]-Table54[[#This Row],[Debit]]</f>
        <v>-880</v>
      </c>
      <c r="N90" s="18">
        <f>N89+Table54[[#This Row],[Difference]]</f>
        <v>140187.10455927052</v>
      </c>
      <c r="O90" s="18"/>
      <c r="P90" s="18" t="s">
        <v>29</v>
      </c>
      <c r="Q90" s="41" t="s">
        <v>103</v>
      </c>
      <c r="R90" s="22"/>
      <c r="S90" s="22"/>
      <c r="T90" s="193" t="s">
        <v>342</v>
      </c>
    </row>
    <row r="91" spans="1:20" hidden="1" x14ac:dyDescent="0.2">
      <c r="A91" s="23" t="s">
        <v>34</v>
      </c>
      <c r="C91" s="24">
        <v>86</v>
      </c>
      <c r="D91" s="24" t="s">
        <v>34</v>
      </c>
      <c r="E91" s="15" t="s">
        <v>134</v>
      </c>
      <c r="F91" s="17">
        <v>42941</v>
      </c>
      <c r="G91" s="18"/>
      <c r="H91" s="18"/>
      <c r="I91" s="20">
        <v>0</v>
      </c>
      <c r="J91" s="20"/>
      <c r="K91" s="18"/>
      <c r="L91" s="18">
        <v>2232</v>
      </c>
      <c r="M91" s="18">
        <f>Table54[[#This Row],[Credit]]-Table54[[#This Row],[Debit]]</f>
        <v>-2232</v>
      </c>
      <c r="N91" s="18">
        <f>N90+Table54[[#This Row],[Difference]]</f>
        <v>137955.10455927052</v>
      </c>
      <c r="O91" s="18"/>
      <c r="P91" s="18" t="s">
        <v>29</v>
      </c>
      <c r="Q91" s="18" t="s">
        <v>79</v>
      </c>
      <c r="R91" s="22"/>
      <c r="S91" s="22"/>
      <c r="T91" s="193" t="s">
        <v>342</v>
      </c>
    </row>
    <row r="92" spans="1:20" hidden="1" x14ac:dyDescent="0.2">
      <c r="A92" s="23" t="s">
        <v>34</v>
      </c>
      <c r="C92" s="45">
        <v>87</v>
      </c>
      <c r="D92" s="24" t="s">
        <v>34</v>
      </c>
      <c r="E92" s="15" t="s">
        <v>135</v>
      </c>
      <c r="F92" s="17">
        <v>42941</v>
      </c>
      <c r="G92" s="18"/>
      <c r="H92" s="18"/>
      <c r="I92" s="20">
        <v>0</v>
      </c>
      <c r="J92" s="20"/>
      <c r="K92" s="18"/>
      <c r="L92" s="18">
        <v>2232</v>
      </c>
      <c r="M92" s="18">
        <f>Table54[[#This Row],[Credit]]-Table54[[#This Row],[Debit]]</f>
        <v>-2232</v>
      </c>
      <c r="N92" s="18">
        <f>N91+Table54[[#This Row],[Difference]]</f>
        <v>135723.10455927052</v>
      </c>
      <c r="O92" s="18"/>
      <c r="P92" s="18" t="s">
        <v>29</v>
      </c>
      <c r="Q92" s="18" t="s">
        <v>79</v>
      </c>
      <c r="R92" s="22"/>
      <c r="S92" s="22"/>
      <c r="T92" s="193" t="s">
        <v>342</v>
      </c>
    </row>
    <row r="93" spans="1:20" hidden="1" x14ac:dyDescent="0.2">
      <c r="A93" s="23" t="s">
        <v>34</v>
      </c>
      <c r="C93" s="45">
        <v>88</v>
      </c>
      <c r="D93" s="24" t="s">
        <v>34</v>
      </c>
      <c r="E93" s="15" t="s">
        <v>136</v>
      </c>
      <c r="F93" s="17">
        <v>42943</v>
      </c>
      <c r="G93" s="18"/>
      <c r="H93" s="18"/>
      <c r="I93" s="20">
        <v>0</v>
      </c>
      <c r="J93" s="20"/>
      <c r="K93" s="18"/>
      <c r="L93" s="18">
        <v>970</v>
      </c>
      <c r="M93" s="18">
        <f>Table54[[#This Row],[Credit]]-Table54[[#This Row],[Debit]]</f>
        <v>-970</v>
      </c>
      <c r="N93" s="18">
        <f>N92+Table54[[#This Row],[Difference]]</f>
        <v>134753.10455927052</v>
      </c>
      <c r="O93" s="18"/>
      <c r="P93" s="18" t="s">
        <v>29</v>
      </c>
      <c r="Q93" s="41" t="s">
        <v>30</v>
      </c>
      <c r="R93" s="22"/>
      <c r="S93" s="22"/>
      <c r="T93" s="193" t="s">
        <v>335</v>
      </c>
    </row>
    <row r="94" spans="1:20" hidden="1" x14ac:dyDescent="0.2">
      <c r="A94" s="23" t="s">
        <v>34</v>
      </c>
      <c r="C94" s="24">
        <v>89</v>
      </c>
      <c r="D94" s="24" t="s">
        <v>34</v>
      </c>
      <c r="E94" s="15" t="s">
        <v>137</v>
      </c>
      <c r="F94" s="17">
        <v>42948</v>
      </c>
      <c r="G94" s="18"/>
      <c r="H94" s="18"/>
      <c r="I94" s="20">
        <v>0</v>
      </c>
      <c r="J94" s="20"/>
      <c r="K94" s="18"/>
      <c r="L94" s="18">
        <v>8000</v>
      </c>
      <c r="M94" s="18">
        <f>Table54[[#This Row],[Credit]]-Table54[[#This Row],[Debit]]</f>
        <v>-8000</v>
      </c>
      <c r="N94" s="18">
        <f>N93+Table54[[#This Row],[Difference]]</f>
        <v>126753.10455927052</v>
      </c>
      <c r="O94" s="18"/>
      <c r="P94" s="18" t="s">
        <v>29</v>
      </c>
      <c r="Q94" s="18" t="s">
        <v>86</v>
      </c>
      <c r="R94" s="18" t="s">
        <v>343</v>
      </c>
      <c r="S94" s="22"/>
      <c r="T94" s="193"/>
    </row>
    <row r="95" spans="1:20" hidden="1" x14ac:dyDescent="0.2">
      <c r="A95" s="23" t="s">
        <v>34</v>
      </c>
      <c r="C95" s="45">
        <v>90</v>
      </c>
      <c r="D95" s="24" t="s">
        <v>34</v>
      </c>
      <c r="E95" s="15" t="s">
        <v>138</v>
      </c>
      <c r="F95" s="17">
        <v>42948</v>
      </c>
      <c r="G95" s="18"/>
      <c r="H95" s="18"/>
      <c r="I95" s="20">
        <v>0</v>
      </c>
      <c r="J95" s="20"/>
      <c r="K95" s="18"/>
      <c r="L95" s="18">
        <v>9800</v>
      </c>
      <c r="M95" s="18">
        <f>Table54[[#This Row],[Credit]]-Table54[[#This Row],[Debit]]</f>
        <v>-9800</v>
      </c>
      <c r="N95" s="18">
        <f>N94+Table54[[#This Row],[Difference]]</f>
        <v>116953.10455927052</v>
      </c>
      <c r="O95" s="18"/>
      <c r="P95" s="18" t="s">
        <v>29</v>
      </c>
      <c r="Q95" s="18" t="s">
        <v>86</v>
      </c>
      <c r="R95" s="18" t="s">
        <v>343</v>
      </c>
      <c r="S95" s="18"/>
      <c r="T95" s="193"/>
    </row>
    <row r="96" spans="1:20" hidden="1" x14ac:dyDescent="0.2">
      <c r="A96" s="23" t="s">
        <v>34</v>
      </c>
      <c r="C96" s="45">
        <v>91</v>
      </c>
      <c r="D96" s="24" t="s">
        <v>34</v>
      </c>
      <c r="E96" s="176" t="s">
        <v>139</v>
      </c>
      <c r="F96" s="17">
        <v>42948</v>
      </c>
      <c r="G96" s="18"/>
      <c r="H96" s="18"/>
      <c r="I96" s="20">
        <v>0</v>
      </c>
      <c r="J96" s="20"/>
      <c r="K96" s="18"/>
      <c r="L96" s="18">
        <v>1200</v>
      </c>
      <c r="M96" s="18">
        <f>Table54[[#This Row],[Credit]]-Table54[[#This Row],[Debit]]</f>
        <v>-1200</v>
      </c>
      <c r="N96" s="18">
        <f>N95+Table54[[#This Row],[Difference]]</f>
        <v>115753.10455927052</v>
      </c>
      <c r="O96" s="18"/>
      <c r="P96" s="18" t="s">
        <v>29</v>
      </c>
      <c r="Q96" s="18" t="s">
        <v>86</v>
      </c>
      <c r="R96" s="18" t="s">
        <v>343</v>
      </c>
      <c r="S96" s="22"/>
      <c r="T96" s="193"/>
    </row>
    <row r="97" spans="1:20" hidden="1" x14ac:dyDescent="0.2">
      <c r="A97" s="23" t="s">
        <v>34</v>
      </c>
      <c r="B97" s="1"/>
      <c r="C97" s="24">
        <v>92</v>
      </c>
      <c r="D97" s="24" t="s">
        <v>34</v>
      </c>
      <c r="E97" s="15" t="s">
        <v>111</v>
      </c>
      <c r="F97" s="17">
        <v>42948</v>
      </c>
      <c r="G97" s="18"/>
      <c r="H97" s="18"/>
      <c r="I97" s="20">
        <v>0</v>
      </c>
      <c r="J97" s="20"/>
      <c r="K97" s="18"/>
      <c r="L97" s="18">
        <v>2532</v>
      </c>
      <c r="M97" s="18">
        <f>Table54[[#This Row],[Credit]]-Table54[[#This Row],[Debit]]</f>
        <v>-2532</v>
      </c>
      <c r="N97" s="18">
        <f>N96+Table54[[#This Row],[Difference]]</f>
        <v>113221.10455927052</v>
      </c>
      <c r="O97" s="18"/>
      <c r="P97" s="18" t="s">
        <v>29</v>
      </c>
      <c r="Q97" s="41" t="s">
        <v>112</v>
      </c>
      <c r="R97" s="18"/>
      <c r="S97" s="22"/>
      <c r="T97" s="193" t="s">
        <v>342</v>
      </c>
    </row>
    <row r="98" spans="1:20" hidden="1" x14ac:dyDescent="0.2">
      <c r="A98" s="23" t="s">
        <v>34</v>
      </c>
      <c r="B98" s="1"/>
      <c r="C98" s="45">
        <v>93</v>
      </c>
      <c r="D98" s="24" t="s">
        <v>34</v>
      </c>
      <c r="E98" s="15" t="s">
        <v>140</v>
      </c>
      <c r="F98" s="17">
        <v>42954</v>
      </c>
      <c r="G98" s="18"/>
      <c r="H98" s="18"/>
      <c r="I98" s="20">
        <v>0</v>
      </c>
      <c r="J98" s="20"/>
      <c r="K98" s="18"/>
      <c r="L98" s="18">
        <v>9000</v>
      </c>
      <c r="M98" s="18">
        <f>Table54[[#This Row],[Credit]]-Table54[[#This Row],[Debit]]</f>
        <v>-9000</v>
      </c>
      <c r="N98" s="18">
        <f>N97+Table54[[#This Row],[Difference]]</f>
        <v>104221.10455927052</v>
      </c>
      <c r="O98" s="18"/>
      <c r="P98" s="18" t="s">
        <v>29</v>
      </c>
      <c r="Q98" s="18" t="s">
        <v>86</v>
      </c>
      <c r="R98" s="18" t="s">
        <v>343</v>
      </c>
      <c r="S98" s="22"/>
      <c r="T98" s="193"/>
    </row>
    <row r="99" spans="1:20" hidden="1" x14ac:dyDescent="0.2">
      <c r="A99" s="23" t="s">
        <v>34</v>
      </c>
      <c r="B99" s="1"/>
      <c r="C99" s="45">
        <v>94</v>
      </c>
      <c r="D99" s="24" t="s">
        <v>34</v>
      </c>
      <c r="E99" s="15" t="s">
        <v>141</v>
      </c>
      <c r="F99" s="17">
        <v>42956</v>
      </c>
      <c r="G99" s="18"/>
      <c r="H99" s="18"/>
      <c r="I99" s="20">
        <v>0</v>
      </c>
      <c r="J99" s="20"/>
      <c r="K99" s="18"/>
      <c r="L99" s="18">
        <v>25488</v>
      </c>
      <c r="M99" s="18">
        <f>Table54[[#This Row],[Credit]]-Table54[[#This Row],[Debit]]</f>
        <v>-25488</v>
      </c>
      <c r="N99" s="18">
        <f>N98+Table54[[#This Row],[Difference]]</f>
        <v>78733.10455927052</v>
      </c>
      <c r="O99" s="18"/>
      <c r="P99" s="18" t="s">
        <v>29</v>
      </c>
      <c r="Q99" s="18" t="s">
        <v>86</v>
      </c>
      <c r="R99" s="22"/>
      <c r="S99" s="22"/>
      <c r="T99" s="193" t="s">
        <v>342</v>
      </c>
    </row>
    <row r="100" spans="1:20" hidden="1" x14ac:dyDescent="0.2">
      <c r="A100" s="14" t="s">
        <v>22</v>
      </c>
      <c r="B100" s="1"/>
      <c r="C100" s="16">
        <v>95</v>
      </c>
      <c r="D100" s="16" t="s">
        <v>23</v>
      </c>
      <c r="E100" s="10" t="s">
        <v>117</v>
      </c>
      <c r="F100" s="17">
        <v>42957</v>
      </c>
      <c r="G100" s="18"/>
      <c r="H100" s="18"/>
      <c r="I100" s="20">
        <v>0</v>
      </c>
      <c r="J100" s="20"/>
      <c r="K100" s="18"/>
      <c r="L100" s="18">
        <f>25+2.25+2.25</f>
        <v>29.5</v>
      </c>
      <c r="M100" s="18">
        <f>Table54[[#This Row],[Credit]]-Table54[[#This Row],[Debit]]</f>
        <v>-29.5</v>
      </c>
      <c r="N100" s="18">
        <f>N99+Table54[[#This Row],[Difference]]</f>
        <v>78703.60455927052</v>
      </c>
      <c r="O100" s="18"/>
      <c r="P100" s="18" t="s">
        <v>81</v>
      </c>
      <c r="Q100" s="18" t="s">
        <v>82</v>
      </c>
      <c r="R100" s="22"/>
      <c r="S100" s="22"/>
      <c r="T100" s="193"/>
    </row>
    <row r="101" spans="1:20" hidden="1" x14ac:dyDescent="0.2">
      <c r="A101" s="23" t="s">
        <v>34</v>
      </c>
      <c r="B101" s="1"/>
      <c r="C101" s="45">
        <v>96</v>
      </c>
      <c r="D101" s="24" t="s">
        <v>34</v>
      </c>
      <c r="E101" s="10" t="s">
        <v>117</v>
      </c>
      <c r="F101" s="17">
        <v>42957</v>
      </c>
      <c r="G101" s="18"/>
      <c r="H101" s="18"/>
      <c r="I101" s="20">
        <v>0</v>
      </c>
      <c r="J101" s="20"/>
      <c r="K101" s="18"/>
      <c r="L101" s="18">
        <f>25+2.25+2.25</f>
        <v>29.5</v>
      </c>
      <c r="M101" s="18">
        <f>Table54[[#This Row],[Credit]]-Table54[[#This Row],[Debit]]</f>
        <v>-29.5</v>
      </c>
      <c r="N101" s="18">
        <f>N100+Table54[[#This Row],[Difference]]</f>
        <v>78674.10455927052</v>
      </c>
      <c r="O101" s="18"/>
      <c r="P101" s="18" t="s">
        <v>81</v>
      </c>
      <c r="Q101" s="18" t="s">
        <v>82</v>
      </c>
      <c r="R101" s="22"/>
      <c r="S101" s="22"/>
      <c r="T101" s="193"/>
    </row>
    <row r="102" spans="1:20" hidden="1" x14ac:dyDescent="0.2">
      <c r="A102" s="23" t="s">
        <v>34</v>
      </c>
      <c r="B102" s="1"/>
      <c r="C102" s="45">
        <v>97</v>
      </c>
      <c r="D102" s="24" t="s">
        <v>34</v>
      </c>
      <c r="E102" s="10" t="s">
        <v>142</v>
      </c>
      <c r="F102" s="17">
        <v>42960</v>
      </c>
      <c r="G102" s="18"/>
      <c r="H102" s="18"/>
      <c r="I102" s="20">
        <v>0</v>
      </c>
      <c r="J102" s="20"/>
      <c r="K102" s="18"/>
      <c r="L102" s="18">
        <v>1000</v>
      </c>
      <c r="M102" s="18">
        <f>Table54[[#This Row],[Credit]]-Table54[[#This Row],[Debit]]</f>
        <v>-1000</v>
      </c>
      <c r="N102" s="18">
        <f>N101+Table54[[#This Row],[Difference]]</f>
        <v>77674.10455927052</v>
      </c>
      <c r="O102" s="18"/>
      <c r="P102" s="18" t="s">
        <v>29</v>
      </c>
      <c r="Q102" s="18" t="s">
        <v>30</v>
      </c>
      <c r="R102" s="22"/>
      <c r="S102" s="22"/>
      <c r="T102" s="193" t="s">
        <v>335</v>
      </c>
    </row>
    <row r="103" spans="1:20" hidden="1" x14ac:dyDescent="0.2">
      <c r="A103" s="23" t="s">
        <v>34</v>
      </c>
      <c r="B103" s="1"/>
      <c r="C103" s="45">
        <v>98</v>
      </c>
      <c r="D103" s="24" t="s">
        <v>34</v>
      </c>
      <c r="E103" s="15" t="s">
        <v>143</v>
      </c>
      <c r="F103" s="46">
        <v>42965</v>
      </c>
      <c r="G103" s="29"/>
      <c r="H103" s="29"/>
      <c r="I103" s="47">
        <v>0</v>
      </c>
      <c r="J103" s="47"/>
      <c r="K103" s="29"/>
      <c r="L103" s="29">
        <v>740</v>
      </c>
      <c r="M103" s="18">
        <f>Table54[[#This Row],[Credit]]-Table54[[#This Row],[Debit]]</f>
        <v>-740</v>
      </c>
      <c r="N103" s="18">
        <f>N102+Table54[[#This Row],[Difference]]</f>
        <v>76934.10455927052</v>
      </c>
      <c r="O103" s="29"/>
      <c r="P103" s="29" t="s">
        <v>29</v>
      </c>
      <c r="Q103" s="29" t="s">
        <v>112</v>
      </c>
      <c r="R103" s="29" t="s">
        <v>285</v>
      </c>
      <c r="S103" s="29"/>
      <c r="T103" s="193"/>
    </row>
    <row r="104" spans="1:20" hidden="1" x14ac:dyDescent="0.2">
      <c r="A104" s="23" t="s">
        <v>34</v>
      </c>
      <c r="B104" s="1"/>
      <c r="C104" s="45">
        <v>99</v>
      </c>
      <c r="D104" s="24" t="s">
        <v>34</v>
      </c>
      <c r="E104" s="15" t="s">
        <v>144</v>
      </c>
      <c r="F104" s="46">
        <v>42965</v>
      </c>
      <c r="G104" s="29"/>
      <c r="H104" s="29"/>
      <c r="I104" s="47">
        <v>0</v>
      </c>
      <c r="J104" s="47"/>
      <c r="K104" s="29"/>
      <c r="L104" s="29">
        <v>740</v>
      </c>
      <c r="M104" s="18">
        <f>Table54[[#This Row],[Credit]]-Table54[[#This Row],[Debit]]</f>
        <v>-740</v>
      </c>
      <c r="N104" s="18">
        <f>N103+Table54[[#This Row],[Difference]]</f>
        <v>76194.10455927052</v>
      </c>
      <c r="O104" s="29"/>
      <c r="P104" s="29" t="s">
        <v>29</v>
      </c>
      <c r="Q104" s="29" t="s">
        <v>112</v>
      </c>
      <c r="R104" s="29" t="s">
        <v>285</v>
      </c>
      <c r="S104" s="29"/>
      <c r="T104" s="193"/>
    </row>
    <row r="105" spans="1:20" hidden="1" x14ac:dyDescent="0.2">
      <c r="A105" s="23" t="s">
        <v>34</v>
      </c>
      <c r="B105" s="1"/>
      <c r="C105" s="45">
        <v>100</v>
      </c>
      <c r="D105" s="24" t="s">
        <v>34</v>
      </c>
      <c r="E105" s="10" t="s">
        <v>145</v>
      </c>
      <c r="F105" s="17">
        <v>42965</v>
      </c>
      <c r="G105" s="18"/>
      <c r="H105" s="18"/>
      <c r="I105" s="20">
        <v>0</v>
      </c>
      <c r="J105" s="20"/>
      <c r="K105" s="18"/>
      <c r="L105" s="18">
        <v>740</v>
      </c>
      <c r="M105" s="18">
        <f>Table54[[#This Row],[Credit]]-Table54[[#This Row],[Debit]]</f>
        <v>-740</v>
      </c>
      <c r="N105" s="18">
        <f>N104+Table54[[#This Row],[Difference]]</f>
        <v>75454.10455927052</v>
      </c>
      <c r="O105" s="18"/>
      <c r="P105" s="18" t="s">
        <v>29</v>
      </c>
      <c r="Q105" s="18" t="s">
        <v>112</v>
      </c>
      <c r="R105" s="22"/>
      <c r="S105" s="22"/>
      <c r="T105" s="193"/>
    </row>
    <row r="106" spans="1:20" hidden="1" x14ac:dyDescent="0.2">
      <c r="A106" s="23" t="s">
        <v>34</v>
      </c>
      <c r="B106" s="1"/>
      <c r="C106" s="45">
        <v>101</v>
      </c>
      <c r="D106" s="24" t="s">
        <v>34</v>
      </c>
      <c r="E106" s="15" t="s">
        <v>115</v>
      </c>
      <c r="F106" s="48">
        <v>42975</v>
      </c>
      <c r="G106" s="22"/>
      <c r="H106" s="22"/>
      <c r="I106" s="20">
        <v>0</v>
      </c>
      <c r="J106" s="49"/>
      <c r="K106" s="22"/>
      <c r="L106" s="22">
        <v>950</v>
      </c>
      <c r="M106" s="18">
        <f>Table54[[#This Row],[Credit]]-Table54[[#This Row],[Debit]]</f>
        <v>-950</v>
      </c>
      <c r="N106" s="18">
        <f>N105+Table54[[#This Row],[Difference]]</f>
        <v>74504.10455927052</v>
      </c>
      <c r="O106" s="22"/>
      <c r="P106" s="18" t="s">
        <v>29</v>
      </c>
      <c r="Q106" s="50" t="s">
        <v>30</v>
      </c>
      <c r="R106" s="22"/>
      <c r="S106" s="22"/>
      <c r="T106" s="193" t="s">
        <v>335</v>
      </c>
    </row>
    <row r="107" spans="1:20" hidden="1" x14ac:dyDescent="0.2">
      <c r="A107" s="23" t="s">
        <v>34</v>
      </c>
      <c r="B107" s="1"/>
      <c r="C107" s="45">
        <v>102</v>
      </c>
      <c r="D107" s="24" t="s">
        <v>34</v>
      </c>
      <c r="E107" s="10" t="s">
        <v>146</v>
      </c>
      <c r="F107" s="48">
        <v>42975</v>
      </c>
      <c r="G107" s="22"/>
      <c r="H107" s="22"/>
      <c r="I107" s="20">
        <v>0</v>
      </c>
      <c r="J107" s="49"/>
      <c r="K107" s="22"/>
      <c r="L107" s="22">
        <v>1857</v>
      </c>
      <c r="M107" s="18">
        <f>Table54[[#This Row],[Credit]]-Table54[[#This Row],[Debit]]</f>
        <v>-1857</v>
      </c>
      <c r="N107" s="18">
        <f>N106+Table54[[#This Row],[Difference]]</f>
        <v>72647.10455927052</v>
      </c>
      <c r="O107" s="22"/>
      <c r="P107" s="18" t="s">
        <v>29</v>
      </c>
      <c r="Q107" s="50" t="s">
        <v>44</v>
      </c>
      <c r="R107" s="22"/>
      <c r="S107" s="22"/>
      <c r="T107" s="193"/>
    </row>
    <row r="108" spans="1:20" hidden="1" x14ac:dyDescent="0.2">
      <c r="A108" s="23" t="s">
        <v>34</v>
      </c>
      <c r="B108" s="1"/>
      <c r="C108" s="45">
        <v>103</v>
      </c>
      <c r="D108" s="24" t="s">
        <v>34</v>
      </c>
      <c r="E108" s="15" t="s">
        <v>147</v>
      </c>
      <c r="F108" s="48">
        <v>42977</v>
      </c>
      <c r="G108" s="22"/>
      <c r="H108" s="22"/>
      <c r="I108" s="20">
        <v>0</v>
      </c>
      <c r="J108" s="49"/>
      <c r="K108" s="22"/>
      <c r="L108" s="22">
        <v>837</v>
      </c>
      <c r="M108" s="18">
        <f>Table54[[#This Row],[Credit]]-Table54[[#This Row],[Debit]]</f>
        <v>-837</v>
      </c>
      <c r="N108" s="18">
        <f>N107+Table54[[#This Row],[Difference]]</f>
        <v>71810.10455927052</v>
      </c>
      <c r="O108" s="22"/>
      <c r="P108" s="18" t="s">
        <v>29</v>
      </c>
      <c r="Q108" s="18" t="s">
        <v>79</v>
      </c>
      <c r="R108" s="22"/>
      <c r="S108" s="22"/>
      <c r="T108" s="193" t="s">
        <v>342</v>
      </c>
    </row>
    <row r="109" spans="1:20" hidden="1" x14ac:dyDescent="0.2">
      <c r="A109" s="23" t="s">
        <v>34</v>
      </c>
      <c r="B109" s="1"/>
      <c r="C109" s="45">
        <v>104</v>
      </c>
      <c r="D109" s="24" t="s">
        <v>34</v>
      </c>
      <c r="E109" s="15" t="s">
        <v>148</v>
      </c>
      <c r="F109" s="48">
        <v>42979</v>
      </c>
      <c r="G109" s="22"/>
      <c r="H109" s="22"/>
      <c r="I109" s="20">
        <v>0</v>
      </c>
      <c r="J109" s="49"/>
      <c r="K109" s="22"/>
      <c r="L109" s="22">
        <v>9000</v>
      </c>
      <c r="M109" s="18">
        <f>Table54[[#This Row],[Credit]]-Table54[[#This Row],[Debit]]</f>
        <v>-9000</v>
      </c>
      <c r="N109" s="18">
        <f>N108+Table54[[#This Row],[Difference]]</f>
        <v>62810.10455927052</v>
      </c>
      <c r="O109" s="22"/>
      <c r="P109" s="18" t="s">
        <v>29</v>
      </c>
      <c r="Q109" s="18" t="s">
        <v>86</v>
      </c>
      <c r="R109" s="18" t="s">
        <v>343</v>
      </c>
      <c r="S109" s="22"/>
      <c r="T109" s="193"/>
    </row>
    <row r="110" spans="1:20" hidden="1" x14ac:dyDescent="0.2">
      <c r="A110" s="23" t="s">
        <v>34</v>
      </c>
      <c r="B110" s="1"/>
      <c r="C110" s="45">
        <v>105</v>
      </c>
      <c r="D110" s="24" t="s">
        <v>34</v>
      </c>
      <c r="E110" s="15" t="s">
        <v>149</v>
      </c>
      <c r="F110" s="48">
        <v>42979</v>
      </c>
      <c r="G110" s="22"/>
      <c r="H110" s="22"/>
      <c r="I110" s="20">
        <v>0</v>
      </c>
      <c r="J110" s="49"/>
      <c r="K110" s="22"/>
      <c r="L110" s="22">
        <v>10000</v>
      </c>
      <c r="M110" s="18">
        <f>Table54[[#This Row],[Credit]]-Table54[[#This Row],[Debit]]</f>
        <v>-10000</v>
      </c>
      <c r="N110" s="18">
        <f>N109+Table54[[#This Row],[Difference]]</f>
        <v>52810.10455927052</v>
      </c>
      <c r="O110" s="22"/>
      <c r="P110" s="18" t="s">
        <v>29</v>
      </c>
      <c r="Q110" s="18" t="s">
        <v>86</v>
      </c>
      <c r="R110" s="18" t="s">
        <v>343</v>
      </c>
      <c r="S110" s="22"/>
      <c r="T110" s="193"/>
    </row>
    <row r="111" spans="1:20" hidden="1" x14ac:dyDescent="0.2">
      <c r="A111" s="23" t="s">
        <v>34</v>
      </c>
      <c r="B111" s="1"/>
      <c r="C111" s="45">
        <v>106</v>
      </c>
      <c r="D111" s="24" t="s">
        <v>34</v>
      </c>
      <c r="E111" s="15" t="s">
        <v>150</v>
      </c>
      <c r="F111" s="48">
        <v>42979</v>
      </c>
      <c r="G111" s="22"/>
      <c r="H111" s="22"/>
      <c r="I111" s="20">
        <v>0</v>
      </c>
      <c r="J111" s="49"/>
      <c r="K111" s="22"/>
      <c r="L111" s="22">
        <v>10000</v>
      </c>
      <c r="M111" s="18">
        <f>Table54[[#This Row],[Credit]]-Table54[[#This Row],[Debit]]</f>
        <v>-10000</v>
      </c>
      <c r="N111" s="18">
        <f>N110+Table54[[#This Row],[Difference]]</f>
        <v>42810.10455927052</v>
      </c>
      <c r="O111" s="22"/>
      <c r="P111" s="18" t="s">
        <v>29</v>
      </c>
      <c r="Q111" s="18" t="s">
        <v>86</v>
      </c>
      <c r="R111" s="18" t="s">
        <v>343</v>
      </c>
      <c r="S111" s="22"/>
      <c r="T111" s="193"/>
    </row>
    <row r="112" spans="1:20" hidden="1" x14ac:dyDescent="0.2">
      <c r="A112" s="23" t="s">
        <v>34</v>
      </c>
      <c r="B112" s="1"/>
      <c r="C112" s="45">
        <v>107</v>
      </c>
      <c r="D112" s="24" t="s">
        <v>34</v>
      </c>
      <c r="E112" s="176" t="s">
        <v>151</v>
      </c>
      <c r="F112" s="48">
        <v>42979</v>
      </c>
      <c r="G112" s="22"/>
      <c r="H112" s="22"/>
      <c r="I112" s="20">
        <v>0</v>
      </c>
      <c r="J112" s="49"/>
      <c r="K112" s="22"/>
      <c r="L112" s="22">
        <v>1200</v>
      </c>
      <c r="M112" s="18">
        <f>Table54[[#This Row],[Credit]]-Table54[[#This Row],[Debit]]</f>
        <v>-1200</v>
      </c>
      <c r="N112" s="18">
        <f>N111+Table54[[#This Row],[Difference]]</f>
        <v>41610.10455927052</v>
      </c>
      <c r="O112" s="22"/>
      <c r="P112" s="18" t="s">
        <v>29</v>
      </c>
      <c r="Q112" s="18" t="s">
        <v>86</v>
      </c>
      <c r="R112" s="18" t="s">
        <v>343</v>
      </c>
      <c r="S112" s="22"/>
      <c r="T112" s="193"/>
    </row>
    <row r="113" spans="1:20" hidden="1" x14ac:dyDescent="0.2">
      <c r="A113" s="23" t="s">
        <v>34</v>
      </c>
      <c r="B113" s="1"/>
      <c r="C113" s="45">
        <v>108</v>
      </c>
      <c r="D113" s="24" t="s">
        <v>34</v>
      </c>
      <c r="E113" s="10" t="s">
        <v>152</v>
      </c>
      <c r="F113" s="48">
        <v>42980</v>
      </c>
      <c r="G113" s="22"/>
      <c r="H113" s="22"/>
      <c r="I113" s="20">
        <v>0</v>
      </c>
      <c r="J113" s="49"/>
      <c r="K113" s="22"/>
      <c r="L113" s="22">
        <v>6023.6</v>
      </c>
      <c r="M113" s="18">
        <f>Table54[[#This Row],[Credit]]-Table54[[#This Row],[Debit]]</f>
        <v>-6023.6</v>
      </c>
      <c r="N113" s="18">
        <f>N112+Table54[[#This Row],[Difference]]</f>
        <v>35586.504559270521</v>
      </c>
      <c r="O113" s="22"/>
      <c r="P113" s="18" t="s">
        <v>29</v>
      </c>
      <c r="Q113" s="51" t="s">
        <v>38</v>
      </c>
      <c r="R113" s="52"/>
      <c r="S113" s="52"/>
      <c r="T113" s="193"/>
    </row>
    <row r="114" spans="1:20" hidden="1" x14ac:dyDescent="0.2">
      <c r="A114" s="23" t="s">
        <v>34</v>
      </c>
      <c r="B114" s="1"/>
      <c r="C114" s="45">
        <v>109</v>
      </c>
      <c r="D114" s="24" t="s">
        <v>34</v>
      </c>
      <c r="E114" s="15" t="s">
        <v>111</v>
      </c>
      <c r="F114" s="17">
        <v>42981</v>
      </c>
      <c r="G114" s="18"/>
      <c r="H114" s="18"/>
      <c r="I114" s="20">
        <v>0</v>
      </c>
      <c r="J114" s="20"/>
      <c r="K114" s="18"/>
      <c r="L114" s="18">
        <v>2344</v>
      </c>
      <c r="M114" s="18">
        <f>Table54[[#This Row],[Credit]]-Table54[[#This Row],[Debit]]</f>
        <v>-2344</v>
      </c>
      <c r="N114" s="18">
        <f>N113+Table54[[#This Row],[Difference]]</f>
        <v>33242.504559270521</v>
      </c>
      <c r="O114" s="18"/>
      <c r="P114" s="18" t="s">
        <v>29</v>
      </c>
      <c r="Q114" s="41" t="s">
        <v>112</v>
      </c>
      <c r="R114" s="22"/>
      <c r="S114" s="22"/>
      <c r="T114" s="193" t="s">
        <v>342</v>
      </c>
    </row>
    <row r="115" spans="1:20" hidden="1" x14ac:dyDescent="0.2">
      <c r="A115" s="23" t="s">
        <v>34</v>
      </c>
      <c r="B115" s="1"/>
      <c r="C115" s="45">
        <v>110</v>
      </c>
      <c r="D115" s="24" t="s">
        <v>34</v>
      </c>
      <c r="E115" s="53" t="s">
        <v>68</v>
      </c>
      <c r="F115" s="48">
        <v>42981</v>
      </c>
      <c r="G115" s="22"/>
      <c r="H115" s="22"/>
      <c r="I115" s="20">
        <v>0</v>
      </c>
      <c r="J115" s="49"/>
      <c r="K115" s="22"/>
      <c r="L115" s="22">
        <v>149</v>
      </c>
      <c r="M115" s="18">
        <f>Table54[[#This Row],[Credit]]-Table54[[#This Row],[Debit]]</f>
        <v>-149</v>
      </c>
      <c r="N115" s="18">
        <f>N114+Table54[[#This Row],[Difference]]</f>
        <v>33093.504559270521</v>
      </c>
      <c r="O115" s="22"/>
      <c r="P115" s="18" t="s">
        <v>29</v>
      </c>
      <c r="Q115" s="50" t="s">
        <v>30</v>
      </c>
      <c r="R115" s="22"/>
      <c r="S115" s="22"/>
      <c r="T115" s="193"/>
    </row>
    <row r="116" spans="1:20" hidden="1" x14ac:dyDescent="0.2">
      <c r="A116" s="23" t="s">
        <v>34</v>
      </c>
      <c r="B116" s="1"/>
      <c r="C116" s="45">
        <v>111</v>
      </c>
      <c r="D116" s="24" t="s">
        <v>34</v>
      </c>
      <c r="E116" s="15" t="s">
        <v>115</v>
      </c>
      <c r="F116" s="48">
        <v>42982</v>
      </c>
      <c r="G116" s="22"/>
      <c r="H116" s="22"/>
      <c r="I116" s="20">
        <v>0</v>
      </c>
      <c r="J116" s="49"/>
      <c r="K116" s="22"/>
      <c r="L116" s="22">
        <v>550</v>
      </c>
      <c r="M116" s="18">
        <f>Table54[[#This Row],[Credit]]-Table54[[#This Row],[Debit]]</f>
        <v>-550</v>
      </c>
      <c r="N116" s="18">
        <f>N115+Table54[[#This Row],[Difference]]</f>
        <v>32543.504559270521</v>
      </c>
      <c r="O116" s="22"/>
      <c r="P116" s="18" t="s">
        <v>29</v>
      </c>
      <c r="Q116" s="50" t="s">
        <v>30</v>
      </c>
      <c r="R116" s="22"/>
      <c r="S116" s="22"/>
      <c r="T116" s="193" t="s">
        <v>335</v>
      </c>
    </row>
    <row r="117" spans="1:20" hidden="1" x14ac:dyDescent="0.2">
      <c r="A117" s="23" t="s">
        <v>34</v>
      </c>
      <c r="B117" s="1"/>
      <c r="C117" s="45">
        <v>137</v>
      </c>
      <c r="D117" s="24" t="s">
        <v>34</v>
      </c>
      <c r="E117" s="15" t="s">
        <v>115</v>
      </c>
      <c r="F117" s="48">
        <v>42982</v>
      </c>
      <c r="G117" s="22"/>
      <c r="H117" s="22"/>
      <c r="I117" s="20">
        <v>0</v>
      </c>
      <c r="J117" s="49"/>
      <c r="K117" s="22"/>
      <c r="L117" s="22">
        <v>210</v>
      </c>
      <c r="M117" s="18">
        <f>Table54[[#This Row],[Credit]]-Table54[[#This Row],[Debit]]</f>
        <v>-210</v>
      </c>
      <c r="N117" s="18">
        <f>N116+Table54[[#This Row],[Difference]]</f>
        <v>32333.504559270521</v>
      </c>
      <c r="O117" s="22"/>
      <c r="P117" s="18" t="s">
        <v>29</v>
      </c>
      <c r="Q117" s="50" t="s">
        <v>30</v>
      </c>
      <c r="R117" s="22"/>
      <c r="S117" s="22"/>
      <c r="T117" s="193" t="s">
        <v>335</v>
      </c>
    </row>
    <row r="118" spans="1:20" hidden="1" x14ac:dyDescent="0.2">
      <c r="A118" s="23" t="s">
        <v>34</v>
      </c>
      <c r="B118" s="1"/>
      <c r="C118" s="45">
        <v>112</v>
      </c>
      <c r="D118" s="24" t="s">
        <v>34</v>
      </c>
      <c r="E118" s="10" t="s">
        <v>152</v>
      </c>
      <c r="F118" s="48">
        <v>42983</v>
      </c>
      <c r="G118" s="22"/>
      <c r="H118" s="22"/>
      <c r="I118" s="20">
        <v>0</v>
      </c>
      <c r="J118" s="49"/>
      <c r="K118" s="22"/>
      <c r="L118" s="22">
        <v>4000</v>
      </c>
      <c r="M118" s="18">
        <f>Table54[[#This Row],[Credit]]-Table54[[#This Row],[Debit]]</f>
        <v>-4000</v>
      </c>
      <c r="N118" s="18">
        <f>N117+Table54[[#This Row],[Difference]]</f>
        <v>28333.504559270521</v>
      </c>
      <c r="O118" s="22"/>
      <c r="P118" s="18" t="s">
        <v>29</v>
      </c>
      <c r="Q118" s="22" t="s">
        <v>38</v>
      </c>
      <c r="R118" s="22"/>
      <c r="S118" s="22"/>
      <c r="T118" s="193"/>
    </row>
    <row r="119" spans="1:20" hidden="1" x14ac:dyDescent="0.2">
      <c r="A119" s="23" t="s">
        <v>34</v>
      </c>
      <c r="B119" s="1"/>
      <c r="C119" s="24">
        <v>113</v>
      </c>
      <c r="D119" s="24" t="s">
        <v>34</v>
      </c>
      <c r="E119" s="10" t="s">
        <v>117</v>
      </c>
      <c r="F119" s="48">
        <v>42983</v>
      </c>
      <c r="G119" s="22"/>
      <c r="H119" s="22"/>
      <c r="I119" s="20">
        <v>0</v>
      </c>
      <c r="J119" s="49"/>
      <c r="K119" s="22"/>
      <c r="L119" s="22">
        <v>29.5</v>
      </c>
      <c r="M119" s="18">
        <f>Table54[[#This Row],[Credit]]-Table54[[#This Row],[Debit]]</f>
        <v>-29.5</v>
      </c>
      <c r="N119" s="18">
        <f>N118+Table54[[#This Row],[Difference]]</f>
        <v>28304.004559270521</v>
      </c>
      <c r="O119" s="22"/>
      <c r="P119" s="18" t="s">
        <v>81</v>
      </c>
      <c r="Q119" s="18" t="s">
        <v>82</v>
      </c>
      <c r="R119" s="22"/>
      <c r="S119" s="22"/>
      <c r="T119" s="193"/>
    </row>
    <row r="120" spans="1:20" hidden="1" x14ac:dyDescent="0.2">
      <c r="A120" s="14" t="s">
        <v>22</v>
      </c>
      <c r="B120" s="1"/>
      <c r="C120" s="143">
        <v>114</v>
      </c>
      <c r="D120" s="16" t="s">
        <v>23</v>
      </c>
      <c r="E120" s="10" t="s">
        <v>117</v>
      </c>
      <c r="F120" s="48">
        <v>42983</v>
      </c>
      <c r="G120" s="22"/>
      <c r="H120" s="22"/>
      <c r="I120" s="20">
        <v>0</v>
      </c>
      <c r="J120" s="49"/>
      <c r="K120" s="22"/>
      <c r="L120" s="22">
        <v>29.5</v>
      </c>
      <c r="M120" s="18">
        <f>Table54[[#This Row],[Credit]]-Table54[[#This Row],[Debit]]</f>
        <v>-29.5</v>
      </c>
      <c r="N120" s="18">
        <f>N119+Table54[[#This Row],[Difference]]</f>
        <v>28274.504559270521</v>
      </c>
      <c r="O120" s="22"/>
      <c r="P120" s="18" t="s">
        <v>81</v>
      </c>
      <c r="Q120" s="18" t="s">
        <v>82</v>
      </c>
      <c r="R120" s="22"/>
      <c r="S120" s="22"/>
      <c r="T120" s="193"/>
    </row>
    <row r="121" spans="1:20" hidden="1" x14ac:dyDescent="0.2">
      <c r="A121" s="23" t="s">
        <v>34</v>
      </c>
      <c r="B121" s="1"/>
      <c r="C121" s="54">
        <v>115</v>
      </c>
      <c r="D121" s="24" t="s">
        <v>34</v>
      </c>
      <c r="E121" s="10" t="s">
        <v>153</v>
      </c>
      <c r="F121" s="48">
        <v>42984</v>
      </c>
      <c r="G121" s="22"/>
      <c r="H121" s="22"/>
      <c r="I121" s="20">
        <v>0</v>
      </c>
      <c r="J121" s="49"/>
      <c r="K121" s="22"/>
      <c r="L121" s="22">
        <f>4464+837</f>
        <v>5301</v>
      </c>
      <c r="M121" s="18">
        <f>Table54[[#This Row],[Credit]]-Table54[[#This Row],[Debit]]</f>
        <v>-5301</v>
      </c>
      <c r="N121" s="18">
        <f>N120+Table54[[#This Row],[Difference]]</f>
        <v>22973.504559270521</v>
      </c>
      <c r="O121" s="22"/>
      <c r="P121" s="18" t="s">
        <v>29</v>
      </c>
      <c r="Q121" s="18" t="s">
        <v>79</v>
      </c>
      <c r="R121" s="22"/>
      <c r="S121" s="22"/>
      <c r="T121" s="193"/>
    </row>
    <row r="122" spans="1:20" hidden="1" x14ac:dyDescent="0.2">
      <c r="A122" s="23" t="s">
        <v>34</v>
      </c>
      <c r="B122" s="1"/>
      <c r="C122" s="54">
        <v>116</v>
      </c>
      <c r="D122" s="24" t="s">
        <v>34</v>
      </c>
      <c r="E122" s="15" t="s">
        <v>154</v>
      </c>
      <c r="F122" s="48">
        <v>42984</v>
      </c>
      <c r="G122" s="22"/>
      <c r="H122" s="22"/>
      <c r="I122" s="20">
        <v>0</v>
      </c>
      <c r="J122" s="49"/>
      <c r="K122" s="22"/>
      <c r="L122" s="22">
        <v>2964</v>
      </c>
      <c r="M122" s="18">
        <f>Table54[[#This Row],[Credit]]-Table54[[#This Row],[Debit]]</f>
        <v>-2964</v>
      </c>
      <c r="N122" s="18">
        <f>N121+Table54[[#This Row],[Difference]]</f>
        <v>20009.504559270521</v>
      </c>
      <c r="O122" s="22"/>
      <c r="P122" s="18" t="s">
        <v>29</v>
      </c>
      <c r="Q122" s="41" t="s">
        <v>79</v>
      </c>
      <c r="R122" s="22"/>
      <c r="S122" s="22"/>
      <c r="T122" s="193" t="s">
        <v>342</v>
      </c>
    </row>
    <row r="123" spans="1:20" hidden="1" x14ac:dyDescent="0.2">
      <c r="A123" s="23" t="s">
        <v>34</v>
      </c>
      <c r="B123" s="1"/>
      <c r="C123" s="54">
        <v>117</v>
      </c>
      <c r="D123" s="24" t="s">
        <v>34</v>
      </c>
      <c r="E123" s="53" t="s">
        <v>155</v>
      </c>
      <c r="F123" s="48">
        <v>42986</v>
      </c>
      <c r="G123" s="22"/>
      <c r="H123" s="22"/>
      <c r="I123" s="20">
        <v>0</v>
      </c>
      <c r="J123" s="49"/>
      <c r="K123" s="22">
        <v>740</v>
      </c>
      <c r="L123" s="22"/>
      <c r="M123" s="18">
        <f>Table54[[#This Row],[Credit]]-Table54[[#This Row],[Debit]]</f>
        <v>740</v>
      </c>
      <c r="N123" s="18">
        <f>N122+Table54[[#This Row],[Difference]]</f>
        <v>20749.504559270521</v>
      </c>
      <c r="O123" s="22"/>
      <c r="P123" s="22" t="s">
        <v>156</v>
      </c>
      <c r="Q123" s="50" t="s">
        <v>112</v>
      </c>
      <c r="R123" s="22"/>
      <c r="S123" s="22"/>
      <c r="T123" s="193"/>
    </row>
    <row r="124" spans="1:20" hidden="1" x14ac:dyDescent="0.2">
      <c r="A124" s="23" t="s">
        <v>34</v>
      </c>
      <c r="B124" s="1"/>
      <c r="C124" s="54">
        <v>118</v>
      </c>
      <c r="D124" s="24" t="s">
        <v>34</v>
      </c>
      <c r="E124" s="53" t="s">
        <v>157</v>
      </c>
      <c r="F124" s="48">
        <v>42986</v>
      </c>
      <c r="G124" s="22"/>
      <c r="H124" s="22"/>
      <c r="I124" s="20">
        <v>0</v>
      </c>
      <c r="J124" s="49"/>
      <c r="K124" s="22">
        <v>740</v>
      </c>
      <c r="L124" s="22"/>
      <c r="M124" s="18">
        <f>Table54[[#This Row],[Credit]]-Table54[[#This Row],[Debit]]</f>
        <v>740</v>
      </c>
      <c r="N124" s="18">
        <f>N123+Table54[[#This Row],[Difference]]</f>
        <v>21489.504559270521</v>
      </c>
      <c r="O124" s="22"/>
      <c r="P124" s="22" t="s">
        <v>156</v>
      </c>
      <c r="Q124" s="22" t="s">
        <v>112</v>
      </c>
      <c r="R124" s="22"/>
      <c r="S124" s="22"/>
      <c r="T124" s="193"/>
    </row>
    <row r="125" spans="1:20" hidden="1" x14ac:dyDescent="0.2">
      <c r="A125" s="23" t="s">
        <v>34</v>
      </c>
      <c r="B125" s="1"/>
      <c r="C125" s="45">
        <v>136</v>
      </c>
      <c r="D125" s="24" t="s">
        <v>34</v>
      </c>
      <c r="E125" s="10" t="s">
        <v>152</v>
      </c>
      <c r="F125" s="48">
        <v>42987</v>
      </c>
      <c r="G125" s="22"/>
      <c r="H125" s="22"/>
      <c r="I125" s="20">
        <v>0</v>
      </c>
      <c r="J125" s="49"/>
      <c r="K125" s="22"/>
      <c r="L125" s="22">
        <v>525</v>
      </c>
      <c r="M125" s="18">
        <f>Table54[[#This Row],[Credit]]-Table54[[#This Row],[Debit]]</f>
        <v>-525</v>
      </c>
      <c r="N125" s="18">
        <f>N124+Table54[[#This Row],[Difference]]</f>
        <v>20964.504559270521</v>
      </c>
      <c r="O125" s="22"/>
      <c r="P125" s="18" t="s">
        <v>29</v>
      </c>
      <c r="Q125" s="50" t="s">
        <v>38</v>
      </c>
      <c r="R125" s="22"/>
      <c r="S125" s="22"/>
      <c r="T125" s="193"/>
    </row>
    <row r="126" spans="1:20" hidden="1" x14ac:dyDescent="0.2">
      <c r="A126" s="23" t="s">
        <v>34</v>
      </c>
      <c r="B126" s="1"/>
      <c r="C126" s="54">
        <v>119</v>
      </c>
      <c r="D126" s="24" t="s">
        <v>34</v>
      </c>
      <c r="E126" s="10" t="s">
        <v>158</v>
      </c>
      <c r="F126" s="48">
        <v>42989</v>
      </c>
      <c r="G126" s="22"/>
      <c r="H126" s="22"/>
      <c r="I126" s="20">
        <v>0</v>
      </c>
      <c r="J126" s="49"/>
      <c r="K126" s="22"/>
      <c r="L126" s="22">
        <v>210</v>
      </c>
      <c r="M126" s="18">
        <f>Table54[[#This Row],[Credit]]-Table54[[#This Row],[Debit]]</f>
        <v>-210</v>
      </c>
      <c r="N126" s="18">
        <f>N125+Table54[[#This Row],[Difference]]</f>
        <v>20754.504559270521</v>
      </c>
      <c r="O126" s="22"/>
      <c r="P126" s="18" t="s">
        <v>29</v>
      </c>
      <c r="Q126" s="18" t="s">
        <v>30</v>
      </c>
      <c r="R126" s="22"/>
      <c r="S126" s="22"/>
      <c r="T126" s="193" t="s">
        <v>342</v>
      </c>
    </row>
    <row r="127" spans="1:20" hidden="1" x14ac:dyDescent="0.2">
      <c r="A127" s="23" t="s">
        <v>34</v>
      </c>
      <c r="B127" s="1"/>
      <c r="C127" s="54">
        <v>120</v>
      </c>
      <c r="D127" s="24" t="s">
        <v>34</v>
      </c>
      <c r="E127" s="53" t="s">
        <v>159</v>
      </c>
      <c r="F127" s="48">
        <v>42989</v>
      </c>
      <c r="G127" s="22"/>
      <c r="H127" s="22"/>
      <c r="I127" s="20">
        <v>0</v>
      </c>
      <c r="J127" s="49"/>
      <c r="K127" s="22"/>
      <c r="L127" s="22">
        <f>3317.64+7.65</f>
        <v>3325.29</v>
      </c>
      <c r="M127" s="18">
        <f>Table54[[#This Row],[Credit]]-Table54[[#This Row],[Debit]]</f>
        <v>-3325.29</v>
      </c>
      <c r="N127" s="18">
        <f>N126+Table54[[#This Row],[Difference]]</f>
        <v>17429.21455927052</v>
      </c>
      <c r="O127" s="22"/>
      <c r="P127" s="18" t="s">
        <v>29</v>
      </c>
      <c r="Q127" s="50" t="s">
        <v>79</v>
      </c>
      <c r="R127" s="22"/>
      <c r="S127" s="22"/>
      <c r="T127" s="193"/>
    </row>
    <row r="128" spans="1:20" hidden="1" x14ac:dyDescent="0.2">
      <c r="A128" s="23" t="s">
        <v>34</v>
      </c>
      <c r="B128" s="1"/>
      <c r="C128" s="142">
        <v>121</v>
      </c>
      <c r="D128" s="24" t="s">
        <v>34</v>
      </c>
      <c r="E128" s="148" t="s">
        <v>315</v>
      </c>
      <c r="F128" s="48">
        <v>42992</v>
      </c>
      <c r="G128" s="22"/>
      <c r="H128" s="22"/>
      <c r="I128" s="20">
        <v>0</v>
      </c>
      <c r="J128" s="49"/>
      <c r="K128" s="25">
        <v>71010</v>
      </c>
      <c r="L128" s="22"/>
      <c r="M128" s="18">
        <f>Table54[[#This Row],[Credit]]-Table54[[#This Row],[Debit]]</f>
        <v>71010</v>
      </c>
      <c r="N128" s="18">
        <f>N127+Table54[[#This Row],[Difference]]</f>
        <v>88439.21455927052</v>
      </c>
      <c r="O128" s="22"/>
      <c r="P128" s="18" t="s">
        <v>25</v>
      </c>
      <c r="Q128" s="18" t="s">
        <v>48</v>
      </c>
      <c r="R128" s="18" t="s">
        <v>343</v>
      </c>
      <c r="S128" s="22"/>
      <c r="T128" s="193"/>
    </row>
    <row r="129" spans="1:21" hidden="1" x14ac:dyDescent="0.2">
      <c r="A129" s="23" t="s">
        <v>34</v>
      </c>
      <c r="B129" s="1"/>
      <c r="C129" s="54">
        <v>122</v>
      </c>
      <c r="D129" s="24" t="s">
        <v>34</v>
      </c>
      <c r="E129" s="10" t="s">
        <v>266</v>
      </c>
      <c r="F129" s="48">
        <v>42993</v>
      </c>
      <c r="G129" s="22"/>
      <c r="H129" s="22"/>
      <c r="I129" s="20">
        <v>0</v>
      </c>
      <c r="J129" s="49"/>
      <c r="K129" s="22"/>
      <c r="L129" s="22">
        <v>2360</v>
      </c>
      <c r="M129" s="18">
        <f>Table54[[#This Row],[Credit]]-Table54[[#This Row],[Debit]]</f>
        <v>-2360</v>
      </c>
      <c r="N129" s="18">
        <f>N128+Table54[[#This Row],[Difference]]</f>
        <v>86079.21455927052</v>
      </c>
      <c r="O129" s="22"/>
      <c r="P129" s="18" t="s">
        <v>29</v>
      </c>
      <c r="Q129" s="22" t="s">
        <v>44</v>
      </c>
      <c r="R129" s="22"/>
      <c r="S129" s="22"/>
      <c r="T129" s="193"/>
    </row>
    <row r="130" spans="1:21" hidden="1" x14ac:dyDescent="0.2">
      <c r="A130" s="14" t="s">
        <v>22</v>
      </c>
      <c r="B130" s="1"/>
      <c r="C130" s="143">
        <v>123</v>
      </c>
      <c r="D130" s="16" t="s">
        <v>23</v>
      </c>
      <c r="E130" s="10" t="s">
        <v>117</v>
      </c>
      <c r="F130" s="48">
        <v>42993</v>
      </c>
      <c r="G130" s="18"/>
      <c r="H130" s="18"/>
      <c r="I130" s="20">
        <v>0</v>
      </c>
      <c r="J130" s="20"/>
      <c r="K130" s="18"/>
      <c r="L130" s="18">
        <f>25+2.25+2.25</f>
        <v>29.5</v>
      </c>
      <c r="M130" s="18">
        <f>Table54[[#This Row],[Credit]]-Table54[[#This Row],[Debit]]</f>
        <v>-29.5</v>
      </c>
      <c r="N130" s="18">
        <f>N129+Table54[[#This Row],[Difference]]</f>
        <v>86049.71455927052</v>
      </c>
      <c r="O130" s="18"/>
      <c r="P130" s="18" t="s">
        <v>81</v>
      </c>
      <c r="Q130" s="41" t="s">
        <v>82</v>
      </c>
      <c r="R130" s="22"/>
      <c r="S130" s="22"/>
      <c r="T130" s="193"/>
    </row>
    <row r="131" spans="1:21" hidden="1" x14ac:dyDescent="0.2">
      <c r="A131" s="23" t="s">
        <v>34</v>
      </c>
      <c r="B131" s="15"/>
      <c r="C131" s="45">
        <v>124</v>
      </c>
      <c r="D131" s="24" t="s">
        <v>34</v>
      </c>
      <c r="E131" s="10" t="s">
        <v>117</v>
      </c>
      <c r="F131" s="48">
        <v>42993</v>
      </c>
      <c r="G131" s="18"/>
      <c r="H131" s="18"/>
      <c r="I131" s="20">
        <v>0</v>
      </c>
      <c r="J131" s="20"/>
      <c r="K131" s="18"/>
      <c r="L131" s="18">
        <f>25+2.25+2.25</f>
        <v>29.5</v>
      </c>
      <c r="M131" s="18">
        <f>Table54[[#This Row],[Credit]]-Table54[[#This Row],[Debit]]</f>
        <v>-29.5</v>
      </c>
      <c r="N131" s="18">
        <f>N130+Table54[[#This Row],[Difference]]</f>
        <v>86020.21455927052</v>
      </c>
      <c r="O131" s="18"/>
      <c r="P131" s="18" t="s">
        <v>81</v>
      </c>
      <c r="Q131" s="18" t="s">
        <v>82</v>
      </c>
      <c r="R131" s="22"/>
      <c r="S131" s="22"/>
      <c r="T131" s="193"/>
    </row>
    <row r="132" spans="1:21" hidden="1" x14ac:dyDescent="0.2">
      <c r="A132" s="23" t="s">
        <v>34</v>
      </c>
      <c r="B132" s="1"/>
      <c r="C132" s="54">
        <v>125</v>
      </c>
      <c r="D132" s="24" t="s">
        <v>34</v>
      </c>
      <c r="E132" s="53" t="s">
        <v>267</v>
      </c>
      <c r="F132" s="48">
        <v>43004</v>
      </c>
      <c r="G132" s="22"/>
      <c r="H132" s="22"/>
      <c r="I132" s="20">
        <v>0</v>
      </c>
      <c r="J132" s="49"/>
      <c r="K132" s="22"/>
      <c r="L132" s="22">
        <v>7771.53</v>
      </c>
      <c r="M132" s="18">
        <f>Table54[[#This Row],[Credit]]-Table54[[#This Row],[Debit]]</f>
        <v>-7771.53</v>
      </c>
      <c r="N132" s="18">
        <f>N131+Table54[[#This Row],[Difference]]</f>
        <v>78248.684559270521</v>
      </c>
      <c r="O132" s="22"/>
      <c r="P132" s="18" t="s">
        <v>29</v>
      </c>
      <c r="Q132" s="22" t="s">
        <v>71</v>
      </c>
      <c r="R132" s="22"/>
      <c r="S132" s="22"/>
      <c r="T132" s="193"/>
    </row>
    <row r="133" spans="1:21" hidden="1" x14ac:dyDescent="0.2">
      <c r="A133" s="23" t="s">
        <v>34</v>
      </c>
      <c r="B133" s="15"/>
      <c r="C133" s="24">
        <v>126</v>
      </c>
      <c r="D133" s="24" t="s">
        <v>34</v>
      </c>
      <c r="E133" s="10" t="s">
        <v>268</v>
      </c>
      <c r="F133" s="17">
        <v>43007</v>
      </c>
      <c r="G133" s="18"/>
      <c r="H133" s="18"/>
      <c r="I133" s="20">
        <v>0</v>
      </c>
      <c r="J133" s="20"/>
      <c r="K133" s="18"/>
      <c r="L133" s="18">
        <v>196</v>
      </c>
      <c r="M133" s="18">
        <f>Table54[[#This Row],[Credit]]-Table54[[#This Row],[Debit]]</f>
        <v>-196</v>
      </c>
      <c r="N133" s="18">
        <f>N132+Table54[[#This Row],[Difference]]</f>
        <v>78052.684559270521</v>
      </c>
      <c r="O133" s="18"/>
      <c r="P133" s="18" t="s">
        <v>81</v>
      </c>
      <c r="Q133" s="18" t="s">
        <v>30</v>
      </c>
      <c r="R133" s="22"/>
      <c r="S133" s="22"/>
      <c r="T133" s="193"/>
    </row>
    <row r="134" spans="1:21" hidden="1" x14ac:dyDescent="0.2">
      <c r="A134" s="23" t="s">
        <v>34</v>
      </c>
      <c r="B134" s="1"/>
      <c r="C134" s="54">
        <v>127</v>
      </c>
      <c r="D134" s="24" t="s">
        <v>34</v>
      </c>
      <c r="E134" s="10" t="s">
        <v>269</v>
      </c>
      <c r="F134" s="17">
        <v>43007</v>
      </c>
      <c r="G134" s="22"/>
      <c r="H134" s="22"/>
      <c r="I134" s="20">
        <v>0</v>
      </c>
      <c r="J134" s="49"/>
      <c r="K134" s="22"/>
      <c r="L134" s="22">
        <v>192</v>
      </c>
      <c r="M134" s="18">
        <f>Table54[[#This Row],[Credit]]-Table54[[#This Row],[Debit]]</f>
        <v>-192</v>
      </c>
      <c r="N134" s="18">
        <f>N133+Table54[[#This Row],[Difference]]</f>
        <v>77860.684559270521</v>
      </c>
      <c r="O134" s="22"/>
      <c r="P134" s="18" t="s">
        <v>81</v>
      </c>
      <c r="Q134" s="18" t="s">
        <v>30</v>
      </c>
      <c r="R134" s="22"/>
      <c r="S134" s="22"/>
      <c r="T134" s="193"/>
    </row>
    <row r="135" spans="1:21" hidden="1" x14ac:dyDescent="0.2">
      <c r="A135" s="23" t="s">
        <v>34</v>
      </c>
      <c r="B135" s="1"/>
      <c r="C135" s="141">
        <v>128</v>
      </c>
      <c r="D135" s="33" t="s">
        <v>34</v>
      </c>
      <c r="E135" s="34" t="s">
        <v>270</v>
      </c>
      <c r="F135" s="35">
        <v>43007</v>
      </c>
      <c r="G135" s="36"/>
      <c r="H135" s="36"/>
      <c r="I135" s="37">
        <v>0</v>
      </c>
      <c r="J135" s="37"/>
      <c r="K135" s="36">
        <v>115</v>
      </c>
      <c r="L135" s="36"/>
      <c r="M135" s="36">
        <f>Table54[[#This Row],[Credit]]-Table54[[#This Row],[Debit]]</f>
        <v>115</v>
      </c>
      <c r="N135" s="36">
        <f>N134+Table54[[#This Row],[Difference]]</f>
        <v>77975.684559270521</v>
      </c>
      <c r="O135" s="36"/>
      <c r="P135" s="36" t="s">
        <v>81</v>
      </c>
      <c r="Q135" s="36" t="s">
        <v>82</v>
      </c>
      <c r="R135" s="38" t="s">
        <v>271</v>
      </c>
      <c r="S135" s="38"/>
      <c r="T135" s="193"/>
    </row>
    <row r="136" spans="1:21" hidden="1" x14ac:dyDescent="0.2">
      <c r="A136" s="23" t="s">
        <v>34</v>
      </c>
      <c r="B136" s="1"/>
      <c r="C136" s="45">
        <v>138</v>
      </c>
      <c r="D136" s="24" t="s">
        <v>34</v>
      </c>
      <c r="E136" s="148" t="s">
        <v>278</v>
      </c>
      <c r="F136" s="48">
        <v>43007</v>
      </c>
      <c r="G136" s="22"/>
      <c r="H136" s="22"/>
      <c r="I136" s="20">
        <v>0</v>
      </c>
      <c r="J136" s="49"/>
      <c r="K136" s="22"/>
      <c r="L136" s="22">
        <v>220</v>
      </c>
      <c r="M136" s="18">
        <f>Table54[[#This Row],[Credit]]-Table54[[#This Row],[Debit]]</f>
        <v>-220</v>
      </c>
      <c r="N136" s="18">
        <f>N135+Table54[[#This Row],[Difference]]</f>
        <v>77755.684559270521</v>
      </c>
      <c r="O136" s="22"/>
      <c r="P136" s="18" t="s">
        <v>29</v>
      </c>
      <c r="Q136" s="22" t="s">
        <v>30</v>
      </c>
      <c r="R136" s="22"/>
      <c r="S136" s="22"/>
      <c r="T136" s="193" t="s">
        <v>335</v>
      </c>
    </row>
    <row r="137" spans="1:21" hidden="1" x14ac:dyDescent="0.2">
      <c r="A137" s="23" t="s">
        <v>34</v>
      </c>
      <c r="B137" s="1"/>
      <c r="C137" s="45">
        <v>129</v>
      </c>
      <c r="D137" s="24" t="s">
        <v>34</v>
      </c>
      <c r="E137" s="15" t="s">
        <v>272</v>
      </c>
      <c r="F137" s="48">
        <v>43011</v>
      </c>
      <c r="G137" s="22"/>
      <c r="H137" s="22"/>
      <c r="I137" s="20">
        <v>0</v>
      </c>
      <c r="J137" s="49"/>
      <c r="K137" s="22"/>
      <c r="L137" s="22">
        <v>17600</v>
      </c>
      <c r="M137" s="18">
        <f>Table54[[#This Row],[Credit]]-Table54[[#This Row],[Debit]]</f>
        <v>-17600</v>
      </c>
      <c r="N137" s="18">
        <f>N136+Table54[[#This Row],[Difference]]</f>
        <v>60155.684559270521</v>
      </c>
      <c r="O137" s="22"/>
      <c r="P137" s="18" t="s">
        <v>29</v>
      </c>
      <c r="Q137" s="18" t="s">
        <v>86</v>
      </c>
      <c r="R137" s="18" t="s">
        <v>343</v>
      </c>
      <c r="S137" s="22"/>
      <c r="T137" s="193"/>
    </row>
    <row r="138" spans="1:21" hidden="1" x14ac:dyDescent="0.2">
      <c r="A138" s="23" t="s">
        <v>34</v>
      </c>
      <c r="B138" s="1"/>
      <c r="C138" s="45">
        <v>130</v>
      </c>
      <c r="D138" s="24" t="s">
        <v>34</v>
      </c>
      <c r="E138" s="15" t="s">
        <v>273</v>
      </c>
      <c r="F138" s="48">
        <v>43011</v>
      </c>
      <c r="G138" s="22"/>
      <c r="H138" s="22"/>
      <c r="I138" s="20">
        <v>0</v>
      </c>
      <c r="J138" s="49"/>
      <c r="K138" s="22"/>
      <c r="L138" s="22">
        <v>10000</v>
      </c>
      <c r="M138" s="18">
        <f>Table54[[#This Row],[Credit]]-Table54[[#This Row],[Debit]]</f>
        <v>-10000</v>
      </c>
      <c r="N138" s="18">
        <f>N137+Table54[[#This Row],[Difference]]</f>
        <v>50155.684559270521</v>
      </c>
      <c r="O138" s="22"/>
      <c r="P138" s="18" t="s">
        <v>29</v>
      </c>
      <c r="Q138" s="18" t="s">
        <v>86</v>
      </c>
      <c r="R138" s="18" t="s">
        <v>343</v>
      </c>
      <c r="S138" s="22"/>
      <c r="T138" s="193"/>
    </row>
    <row r="139" spans="1:21" hidden="1" x14ac:dyDescent="0.2">
      <c r="A139" s="23" t="s">
        <v>34</v>
      </c>
      <c r="B139" s="1"/>
      <c r="C139" s="45">
        <v>131</v>
      </c>
      <c r="D139" s="24" t="s">
        <v>34</v>
      </c>
      <c r="E139" s="15" t="s">
        <v>274</v>
      </c>
      <c r="F139" s="48">
        <v>43011</v>
      </c>
      <c r="G139" s="22"/>
      <c r="H139" s="22"/>
      <c r="I139" s="20">
        <v>0</v>
      </c>
      <c r="J139" s="49"/>
      <c r="K139" s="22"/>
      <c r="L139" s="22">
        <v>6400</v>
      </c>
      <c r="M139" s="18">
        <f>Table54[[#This Row],[Credit]]-Table54[[#This Row],[Debit]]</f>
        <v>-6400</v>
      </c>
      <c r="N139" s="18">
        <f>N138+Table54[[#This Row],[Difference]]</f>
        <v>43755.684559270521</v>
      </c>
      <c r="O139" s="22"/>
      <c r="P139" s="18" t="s">
        <v>29</v>
      </c>
      <c r="Q139" s="18" t="s">
        <v>86</v>
      </c>
      <c r="R139" s="18" t="s">
        <v>343</v>
      </c>
      <c r="S139" s="22"/>
      <c r="T139" s="193"/>
    </row>
    <row r="140" spans="1:21" hidden="1" x14ac:dyDescent="0.2">
      <c r="A140" s="23" t="s">
        <v>34</v>
      </c>
      <c r="B140" s="1"/>
      <c r="C140" s="45">
        <v>132</v>
      </c>
      <c r="D140" s="24" t="s">
        <v>34</v>
      </c>
      <c r="E140" s="15" t="s">
        <v>275</v>
      </c>
      <c r="F140" s="48">
        <v>43011</v>
      </c>
      <c r="G140" s="22"/>
      <c r="H140" s="22"/>
      <c r="I140" s="20">
        <v>0</v>
      </c>
      <c r="J140" s="49"/>
      <c r="K140" s="22"/>
      <c r="L140" s="22">
        <v>2467</v>
      </c>
      <c r="M140" s="18">
        <f>Table54[[#This Row],[Credit]]-Table54[[#This Row],[Debit]]</f>
        <v>-2467</v>
      </c>
      <c r="N140" s="18">
        <f>N139+Table54[[#This Row],[Difference]]</f>
        <v>41288.684559270521</v>
      </c>
      <c r="O140" s="22"/>
      <c r="P140" s="18" t="s">
        <v>29</v>
      </c>
      <c r="Q140" s="41" t="s">
        <v>86</v>
      </c>
      <c r="R140" s="18" t="s">
        <v>343</v>
      </c>
      <c r="S140" s="22" t="s">
        <v>375</v>
      </c>
      <c r="T140" s="193"/>
    </row>
    <row r="141" spans="1:21" hidden="1" x14ac:dyDescent="0.2">
      <c r="A141" s="23" t="s">
        <v>34</v>
      </c>
      <c r="B141" s="1"/>
      <c r="C141" s="45">
        <v>133</v>
      </c>
      <c r="D141" s="24" t="s">
        <v>34</v>
      </c>
      <c r="E141" s="15" t="s">
        <v>276</v>
      </c>
      <c r="F141" s="48">
        <v>43011</v>
      </c>
      <c r="G141" s="22"/>
      <c r="H141" s="22"/>
      <c r="I141" s="20">
        <v>0</v>
      </c>
      <c r="J141" s="49"/>
      <c r="K141" s="22"/>
      <c r="L141" s="22">
        <v>9725</v>
      </c>
      <c r="M141" s="18">
        <f>Table54[[#This Row],[Credit]]-Table54[[#This Row],[Debit]]</f>
        <v>-9725</v>
      </c>
      <c r="N141" s="18">
        <f>N140+Table54[[#This Row],[Difference]]</f>
        <v>31563.684559270521</v>
      </c>
      <c r="O141" s="22"/>
      <c r="P141" s="18" t="s">
        <v>29</v>
      </c>
      <c r="Q141" s="41" t="s">
        <v>86</v>
      </c>
      <c r="R141" s="18" t="s">
        <v>343</v>
      </c>
      <c r="S141" s="22" t="s">
        <v>375</v>
      </c>
      <c r="T141" s="193"/>
    </row>
    <row r="142" spans="1:21" hidden="1" x14ac:dyDescent="0.2">
      <c r="A142" s="23" t="s">
        <v>34</v>
      </c>
      <c r="B142" s="1"/>
      <c r="C142" s="45">
        <v>134</v>
      </c>
      <c r="D142" s="24" t="s">
        <v>34</v>
      </c>
      <c r="E142" s="176" t="s">
        <v>277</v>
      </c>
      <c r="F142" s="48">
        <v>43011</v>
      </c>
      <c r="G142" s="22"/>
      <c r="H142" s="22"/>
      <c r="I142" s="20">
        <v>0</v>
      </c>
      <c r="J142" s="49"/>
      <c r="K142" s="22"/>
      <c r="L142" s="22">
        <v>1200</v>
      </c>
      <c r="M142" s="18">
        <f>Table54[[#This Row],[Credit]]-Table54[[#This Row],[Debit]]</f>
        <v>-1200</v>
      </c>
      <c r="N142" s="18">
        <f>N141+Table54[[#This Row],[Difference]]</f>
        <v>30363.684559270521</v>
      </c>
      <c r="O142" s="22"/>
      <c r="P142" s="18" t="s">
        <v>29</v>
      </c>
      <c r="Q142" s="41" t="s">
        <v>86</v>
      </c>
      <c r="R142" s="18" t="s">
        <v>343</v>
      </c>
      <c r="S142" s="22" t="s">
        <v>375</v>
      </c>
      <c r="T142" s="193"/>
    </row>
    <row r="143" spans="1:21" hidden="1" x14ac:dyDescent="0.2">
      <c r="A143" s="23" t="s">
        <v>34</v>
      </c>
      <c r="B143" s="1"/>
      <c r="C143" s="45">
        <v>135</v>
      </c>
      <c r="D143" s="24" t="s">
        <v>34</v>
      </c>
      <c r="E143" s="15" t="s">
        <v>111</v>
      </c>
      <c r="F143" s="48">
        <v>43011</v>
      </c>
      <c r="G143" s="18"/>
      <c r="H143" s="18"/>
      <c r="I143" s="20">
        <v>0</v>
      </c>
      <c r="J143" s="20"/>
      <c r="K143" s="18"/>
      <c r="L143" s="18">
        <v>3698</v>
      </c>
      <c r="M143" s="18">
        <f>Table54[[#This Row],[Credit]]-Table54[[#This Row],[Debit]]</f>
        <v>-3698</v>
      </c>
      <c r="N143" s="18">
        <f>N142+Table54[[#This Row],[Difference]]</f>
        <v>26665.684559270521</v>
      </c>
      <c r="O143" s="18"/>
      <c r="P143" s="18" t="s">
        <v>29</v>
      </c>
      <c r="Q143" s="41" t="s">
        <v>112</v>
      </c>
      <c r="R143" s="22"/>
      <c r="S143" s="22"/>
      <c r="T143" s="193" t="s">
        <v>335</v>
      </c>
    </row>
    <row r="144" spans="1:21" hidden="1" x14ac:dyDescent="0.2">
      <c r="A144" s="23" t="s">
        <v>34</v>
      </c>
      <c r="B144" s="1"/>
      <c r="C144" s="45">
        <v>136</v>
      </c>
      <c r="D144" s="24" t="s">
        <v>34</v>
      </c>
      <c r="E144" s="144" t="s">
        <v>279</v>
      </c>
      <c r="F144" s="48">
        <v>43012</v>
      </c>
      <c r="G144" s="22"/>
      <c r="H144" s="22"/>
      <c r="I144" s="20">
        <v>0</v>
      </c>
      <c r="J144" s="49"/>
      <c r="K144" s="22"/>
      <c r="L144" s="22">
        <v>1000</v>
      </c>
      <c r="M144" s="18">
        <f>Table54[[#This Row],[Credit]]-Table54[[#This Row],[Debit]]</f>
        <v>-1000</v>
      </c>
      <c r="N144" s="18">
        <f>N143+Table54[[#This Row],[Difference]]</f>
        <v>25665.684559270521</v>
      </c>
      <c r="O144" s="22"/>
      <c r="P144" s="18" t="s">
        <v>29</v>
      </c>
      <c r="Q144" s="50" t="s">
        <v>30</v>
      </c>
      <c r="R144" s="22"/>
      <c r="S144" s="22"/>
      <c r="T144" s="193"/>
      <c r="U144" s="2"/>
    </row>
    <row r="145" spans="1:21" hidden="1" x14ac:dyDescent="0.2">
      <c r="A145" s="23" t="s">
        <v>34</v>
      </c>
      <c r="B145" s="1"/>
      <c r="C145" s="45">
        <v>137</v>
      </c>
      <c r="D145" s="24" t="s">
        <v>34</v>
      </c>
      <c r="E145" s="10" t="s">
        <v>280</v>
      </c>
      <c r="F145" s="48">
        <v>43020</v>
      </c>
      <c r="G145" s="22"/>
      <c r="H145" s="22"/>
      <c r="I145" s="20">
        <v>0</v>
      </c>
      <c r="J145" s="49"/>
      <c r="K145" s="22"/>
      <c r="L145" s="22">
        <v>2360</v>
      </c>
      <c r="M145" s="18">
        <f>Table54[[#This Row],[Credit]]-Table54[[#This Row],[Debit]]</f>
        <v>-2360</v>
      </c>
      <c r="N145" s="18">
        <f>N144+Table54[[#This Row],[Difference]]</f>
        <v>23305.684559270521</v>
      </c>
      <c r="O145" s="22"/>
      <c r="P145" s="18" t="s">
        <v>29</v>
      </c>
      <c r="Q145" s="22" t="s">
        <v>44</v>
      </c>
      <c r="R145" s="22"/>
      <c r="S145" s="22"/>
      <c r="T145" s="193"/>
      <c r="U145" s="2"/>
    </row>
    <row r="146" spans="1:21" hidden="1" x14ac:dyDescent="0.2">
      <c r="A146" s="23" t="s">
        <v>34</v>
      </c>
      <c r="B146" s="1"/>
      <c r="C146" s="45">
        <v>138</v>
      </c>
      <c r="D146" s="24" t="s">
        <v>34</v>
      </c>
      <c r="E146" s="148" t="s">
        <v>315</v>
      </c>
      <c r="F146" s="48">
        <v>43031</v>
      </c>
      <c r="G146" s="22"/>
      <c r="H146" s="22"/>
      <c r="I146" s="20">
        <v>0</v>
      </c>
      <c r="J146" s="49"/>
      <c r="K146" s="145">
        <v>151189</v>
      </c>
      <c r="L146" s="22"/>
      <c r="M146" s="18">
        <f>Table54[[#This Row],[Credit]]-Table54[[#This Row],[Debit]]</f>
        <v>151189</v>
      </c>
      <c r="N146" s="18">
        <f>N145+Table54[[#This Row],[Difference]]</f>
        <v>174494.68455927051</v>
      </c>
      <c r="O146" s="22"/>
      <c r="P146" s="55" t="s">
        <v>25</v>
      </c>
      <c r="Q146" s="18" t="s">
        <v>48</v>
      </c>
      <c r="R146" s="18" t="s">
        <v>343</v>
      </c>
      <c r="S146" s="22" t="s">
        <v>375</v>
      </c>
      <c r="T146" s="193"/>
      <c r="U146" s="2"/>
    </row>
    <row r="147" spans="1:21" hidden="1" x14ac:dyDescent="0.2">
      <c r="A147" s="147" t="s">
        <v>22</v>
      </c>
      <c r="B147" s="1"/>
      <c r="C147" s="143">
        <v>139</v>
      </c>
      <c r="D147" s="16" t="s">
        <v>23</v>
      </c>
      <c r="E147" s="53" t="s">
        <v>117</v>
      </c>
      <c r="F147" s="48">
        <v>43032</v>
      </c>
      <c r="G147" s="22"/>
      <c r="H147" s="22"/>
      <c r="I147" s="20">
        <v>0</v>
      </c>
      <c r="J147" s="49"/>
      <c r="K147" s="146"/>
      <c r="L147" s="22">
        <v>29.5</v>
      </c>
      <c r="M147" s="18">
        <f>Table54[[#This Row],[Credit]]-Table54[[#This Row],[Debit]]</f>
        <v>-29.5</v>
      </c>
      <c r="N147" s="18">
        <f>N146+Table54[[#This Row],[Difference]]</f>
        <v>174465.18455927051</v>
      </c>
      <c r="O147" s="22"/>
      <c r="P147" s="22" t="s">
        <v>81</v>
      </c>
      <c r="Q147" s="51" t="s">
        <v>82</v>
      </c>
      <c r="R147" s="22"/>
      <c r="S147" s="22"/>
      <c r="T147" s="193"/>
      <c r="U147" s="2"/>
    </row>
    <row r="148" spans="1:21" hidden="1" x14ac:dyDescent="0.2">
      <c r="A148" s="23" t="s">
        <v>34</v>
      </c>
      <c r="B148" s="1"/>
      <c r="C148" s="45">
        <v>140</v>
      </c>
      <c r="D148" s="24" t="s">
        <v>34</v>
      </c>
      <c r="E148" s="53" t="s">
        <v>117</v>
      </c>
      <c r="F148" s="48">
        <v>43032</v>
      </c>
      <c r="G148" s="22"/>
      <c r="H148" s="22"/>
      <c r="I148" s="20">
        <v>0</v>
      </c>
      <c r="J148" s="49"/>
      <c r="K148" s="146"/>
      <c r="L148" s="22">
        <v>29.5</v>
      </c>
      <c r="M148" s="18">
        <f>Table54[[#This Row],[Credit]]-Table54[[#This Row],[Debit]]</f>
        <v>-29.5</v>
      </c>
      <c r="N148" s="18">
        <f>N147+Table54[[#This Row],[Difference]]</f>
        <v>174435.68455927051</v>
      </c>
      <c r="O148" s="22"/>
      <c r="P148" s="22" t="s">
        <v>81</v>
      </c>
      <c r="Q148" s="51" t="s">
        <v>82</v>
      </c>
      <c r="R148" s="22"/>
      <c r="S148" s="22"/>
      <c r="T148" s="193"/>
      <c r="U148" s="2"/>
    </row>
    <row r="149" spans="1:21" hidden="1" x14ac:dyDescent="0.2">
      <c r="A149" s="23" t="s">
        <v>34</v>
      </c>
      <c r="B149" s="1"/>
      <c r="C149" s="45">
        <v>141</v>
      </c>
      <c r="D149" s="24" t="s">
        <v>34</v>
      </c>
      <c r="E149" s="148" t="s">
        <v>141</v>
      </c>
      <c r="F149" s="46">
        <v>43034</v>
      </c>
      <c r="G149" s="22"/>
      <c r="H149" s="22"/>
      <c r="I149" s="20">
        <v>0</v>
      </c>
      <c r="J149" s="49"/>
      <c r="K149" s="146"/>
      <c r="L149" s="22">
        <v>28320</v>
      </c>
      <c r="M149" s="18">
        <f>Table54[[#This Row],[Credit]]-Table54[[#This Row],[Debit]]</f>
        <v>-28320</v>
      </c>
      <c r="N149" s="18">
        <f>N148+Table54[[#This Row],[Difference]]</f>
        <v>146115.68455927051</v>
      </c>
      <c r="O149" s="22"/>
      <c r="P149" s="22" t="s">
        <v>29</v>
      </c>
      <c r="Q149" s="51" t="s">
        <v>86</v>
      </c>
      <c r="R149" s="22"/>
      <c r="S149" s="22"/>
      <c r="T149" s="193" t="s">
        <v>342</v>
      </c>
      <c r="U149" s="2"/>
    </row>
    <row r="150" spans="1:21" hidden="1" x14ac:dyDescent="0.2">
      <c r="A150" s="23" t="s">
        <v>34</v>
      </c>
      <c r="B150" s="1"/>
      <c r="C150" s="45">
        <v>142</v>
      </c>
      <c r="D150" s="24" t="s">
        <v>34</v>
      </c>
      <c r="E150" s="53" t="s">
        <v>61</v>
      </c>
      <c r="F150" s="48">
        <v>43034</v>
      </c>
      <c r="G150" s="22"/>
      <c r="H150" s="22"/>
      <c r="I150" s="20">
        <v>0</v>
      </c>
      <c r="J150" s="49"/>
      <c r="K150" s="146"/>
      <c r="L150" s="22">
        <v>7424</v>
      </c>
      <c r="M150" s="18">
        <f>Table54[[#This Row],[Credit]]-Table54[[#This Row],[Debit]]</f>
        <v>-7424</v>
      </c>
      <c r="N150" s="18">
        <f>N149+Table54[[#This Row],[Difference]]</f>
        <v>138691.68455927051</v>
      </c>
      <c r="O150" s="22"/>
      <c r="P150" s="22" t="s">
        <v>29</v>
      </c>
      <c r="Q150" s="51" t="s">
        <v>26</v>
      </c>
      <c r="R150" s="22"/>
      <c r="S150" s="22"/>
      <c r="T150" s="193"/>
      <c r="U150" s="2"/>
    </row>
    <row r="151" spans="1:21" hidden="1" x14ac:dyDescent="0.2">
      <c r="A151" s="23" t="s">
        <v>34</v>
      </c>
      <c r="B151" s="1"/>
      <c r="C151" s="45">
        <v>143</v>
      </c>
      <c r="D151" s="24" t="s">
        <v>34</v>
      </c>
      <c r="E151" s="53" t="s">
        <v>281</v>
      </c>
      <c r="F151" s="48">
        <v>43035</v>
      </c>
      <c r="G151" s="22"/>
      <c r="H151" s="22"/>
      <c r="I151" s="49">
        <v>0</v>
      </c>
      <c r="J151" s="49"/>
      <c r="K151" s="146"/>
      <c r="L151" s="22">
        <v>14444</v>
      </c>
      <c r="M151" s="18">
        <f>Table54[[#This Row],[Credit]]-Table54[[#This Row],[Debit]]</f>
        <v>-14444</v>
      </c>
      <c r="N151" s="18">
        <f>N150+Table54[[#This Row],[Difference]]</f>
        <v>124247.68455927051</v>
      </c>
      <c r="O151" s="22"/>
      <c r="P151" s="22" t="s">
        <v>29</v>
      </c>
      <c r="Q151" s="51" t="s">
        <v>44</v>
      </c>
      <c r="R151" s="22"/>
      <c r="S151" s="22"/>
      <c r="T151" s="193"/>
      <c r="U151" s="2"/>
    </row>
    <row r="152" spans="1:21" hidden="1" x14ac:dyDescent="0.2">
      <c r="A152" s="23" t="s">
        <v>34</v>
      </c>
      <c r="B152" s="1"/>
      <c r="C152" s="45">
        <v>144</v>
      </c>
      <c r="D152" s="24" t="s">
        <v>34</v>
      </c>
      <c r="E152" s="53" t="s">
        <v>282</v>
      </c>
      <c r="F152" s="48">
        <v>43036</v>
      </c>
      <c r="G152" s="22"/>
      <c r="H152" s="22"/>
      <c r="I152" s="49">
        <v>0</v>
      </c>
      <c r="J152" s="49"/>
      <c r="K152" s="146"/>
      <c r="L152" s="22">
        <v>6023.6</v>
      </c>
      <c r="M152" s="18">
        <f>Table54[[#This Row],[Credit]]-Table54[[#This Row],[Debit]]</f>
        <v>-6023.6</v>
      </c>
      <c r="N152" s="18">
        <f>N151+Table54[[#This Row],[Difference]]</f>
        <v>118224.0845592705</v>
      </c>
      <c r="O152" s="22"/>
      <c r="P152" s="22" t="s">
        <v>29</v>
      </c>
      <c r="Q152" s="51" t="s">
        <v>162</v>
      </c>
      <c r="R152" s="22"/>
      <c r="S152" s="22"/>
      <c r="T152" s="193"/>
      <c r="U152" s="2"/>
    </row>
    <row r="153" spans="1:21" hidden="1" x14ac:dyDescent="0.2">
      <c r="A153" s="23" t="s">
        <v>34</v>
      </c>
      <c r="B153" s="1"/>
      <c r="C153" s="45">
        <v>145</v>
      </c>
      <c r="D153" s="24" t="s">
        <v>34</v>
      </c>
      <c r="E153" s="53" t="s">
        <v>282</v>
      </c>
      <c r="F153" s="48">
        <v>43038</v>
      </c>
      <c r="G153" s="22"/>
      <c r="H153" s="22"/>
      <c r="I153" s="49">
        <v>0</v>
      </c>
      <c r="J153" s="49"/>
      <c r="K153" s="146"/>
      <c r="L153" s="22">
        <v>3023.6</v>
      </c>
      <c r="M153" s="18">
        <f>Table54[[#This Row],[Credit]]-Table54[[#This Row],[Debit]]</f>
        <v>-3023.6</v>
      </c>
      <c r="N153" s="18">
        <f>N152+Table54[[#This Row],[Difference]]</f>
        <v>115200.4845592705</v>
      </c>
      <c r="O153" s="22"/>
      <c r="P153" s="22" t="s">
        <v>29</v>
      </c>
      <c r="Q153" s="51" t="s">
        <v>162</v>
      </c>
      <c r="R153" s="22"/>
      <c r="S153" s="22"/>
      <c r="T153" s="193"/>
      <c r="U153" s="2"/>
    </row>
    <row r="154" spans="1:21" hidden="1" x14ac:dyDescent="0.2">
      <c r="A154" s="23" t="s">
        <v>34</v>
      </c>
      <c r="B154" s="1"/>
      <c r="C154" s="45">
        <v>146</v>
      </c>
      <c r="D154" s="24" t="s">
        <v>34</v>
      </c>
      <c r="E154" s="53" t="s">
        <v>283</v>
      </c>
      <c r="F154" s="48">
        <v>43038</v>
      </c>
      <c r="G154" s="22"/>
      <c r="H154" s="22"/>
      <c r="I154" s="49">
        <v>0</v>
      </c>
      <c r="J154" s="49"/>
      <c r="K154" s="146"/>
      <c r="L154" s="22">
        <v>815</v>
      </c>
      <c r="M154" s="18">
        <f>Table54[[#This Row],[Credit]]-Table54[[#This Row],[Debit]]</f>
        <v>-815</v>
      </c>
      <c r="N154" s="18">
        <f>N153+Table54[[#This Row],[Difference]]</f>
        <v>114385.4845592705</v>
      </c>
      <c r="O154" s="22"/>
      <c r="P154" s="22" t="s">
        <v>29</v>
      </c>
      <c r="Q154" s="51" t="s">
        <v>112</v>
      </c>
      <c r="R154" s="22"/>
      <c r="S154" s="22"/>
      <c r="T154" s="193"/>
      <c r="U154" s="2"/>
    </row>
    <row r="155" spans="1:21" hidden="1" x14ac:dyDescent="0.2">
      <c r="A155" s="23" t="s">
        <v>34</v>
      </c>
      <c r="B155" s="1"/>
      <c r="C155" s="45">
        <v>147</v>
      </c>
      <c r="D155" s="24" t="s">
        <v>34</v>
      </c>
      <c r="E155" s="53" t="s">
        <v>284</v>
      </c>
      <c r="F155" s="48">
        <v>43038</v>
      </c>
      <c r="G155" s="22"/>
      <c r="H155" s="22"/>
      <c r="I155" s="49">
        <v>0</v>
      </c>
      <c r="J155" s="49"/>
      <c r="K155" s="146"/>
      <c r="L155" s="22">
        <v>671</v>
      </c>
      <c r="M155" s="18">
        <f>Table54[[#This Row],[Credit]]-Table54[[#This Row],[Debit]]</f>
        <v>-671</v>
      </c>
      <c r="N155" s="18">
        <f>N154+Table54[[#This Row],[Difference]]</f>
        <v>113714.4845592705</v>
      </c>
      <c r="O155" s="22"/>
      <c r="P155" s="22" t="s">
        <v>29</v>
      </c>
      <c r="Q155" s="51" t="s">
        <v>112</v>
      </c>
      <c r="R155" s="22"/>
      <c r="S155" s="22"/>
      <c r="T155" s="193"/>
      <c r="U155" s="2"/>
    </row>
    <row r="156" spans="1:21" hidden="1" x14ac:dyDescent="0.2">
      <c r="A156" s="23" t="s">
        <v>34</v>
      </c>
      <c r="B156" s="1"/>
      <c r="C156" s="45">
        <v>148</v>
      </c>
      <c r="D156" s="24" t="s">
        <v>34</v>
      </c>
      <c r="E156" s="148" t="s">
        <v>298</v>
      </c>
      <c r="F156" s="48">
        <v>43038</v>
      </c>
      <c r="G156" s="22"/>
      <c r="H156" s="22"/>
      <c r="I156" s="49">
        <v>0</v>
      </c>
      <c r="J156" s="49"/>
      <c r="K156" s="152">
        <v>954.5</v>
      </c>
      <c r="L156" s="22"/>
      <c r="M156" s="18">
        <f>Table54[[#This Row],[Credit]]-Table54[[#This Row],[Debit]]</f>
        <v>954.5</v>
      </c>
      <c r="N156" s="18">
        <f>N155+Table54[[#This Row],[Difference]]</f>
        <v>114668.9845592705</v>
      </c>
      <c r="O156" s="22"/>
      <c r="P156" s="22" t="s">
        <v>29</v>
      </c>
      <c r="Q156" s="18" t="s">
        <v>299</v>
      </c>
      <c r="R156" s="18" t="s">
        <v>343</v>
      </c>
      <c r="S156" s="22" t="s">
        <v>375</v>
      </c>
      <c r="T156" s="193"/>
      <c r="U156" s="2"/>
    </row>
    <row r="157" spans="1:21" hidden="1" x14ac:dyDescent="0.2">
      <c r="A157" s="23" t="s">
        <v>34</v>
      </c>
      <c r="B157" s="1"/>
      <c r="C157" s="45">
        <v>149</v>
      </c>
      <c r="D157" s="24" t="s">
        <v>34</v>
      </c>
      <c r="E157" s="148" t="s">
        <v>302</v>
      </c>
      <c r="F157" s="48">
        <v>43040</v>
      </c>
      <c r="G157" s="22"/>
      <c r="H157" s="22"/>
      <c r="I157" s="49">
        <v>0</v>
      </c>
      <c r="J157" s="49"/>
      <c r="K157" s="146"/>
      <c r="L157" s="22">
        <v>17800</v>
      </c>
      <c r="M157" s="18">
        <f>Table54[[#This Row],[Credit]]-Table54[[#This Row],[Debit]]</f>
        <v>-17800</v>
      </c>
      <c r="N157" s="18">
        <f>N156+Table54[[#This Row],[Difference]]</f>
        <v>96868.984559270495</v>
      </c>
      <c r="O157" s="22"/>
      <c r="P157" s="22" t="s">
        <v>29</v>
      </c>
      <c r="Q157" s="51" t="s">
        <v>86</v>
      </c>
      <c r="R157" s="18" t="s">
        <v>343</v>
      </c>
      <c r="S157" s="22" t="s">
        <v>375</v>
      </c>
      <c r="T157" s="193"/>
      <c r="U157" s="2"/>
    </row>
    <row r="158" spans="1:21" hidden="1" x14ac:dyDescent="0.2">
      <c r="A158" s="23" t="s">
        <v>34</v>
      </c>
      <c r="B158" s="1"/>
      <c r="C158" s="45">
        <v>150</v>
      </c>
      <c r="D158" s="24" t="s">
        <v>34</v>
      </c>
      <c r="E158" s="148" t="s">
        <v>303</v>
      </c>
      <c r="F158" s="48">
        <v>43041</v>
      </c>
      <c r="G158" s="22"/>
      <c r="H158" s="22"/>
      <c r="I158" s="49">
        <v>0</v>
      </c>
      <c r="J158" s="49"/>
      <c r="K158" s="146"/>
      <c r="L158" s="22">
        <v>9800</v>
      </c>
      <c r="M158" s="18">
        <f>Table54[[#This Row],[Credit]]-Table54[[#This Row],[Debit]]</f>
        <v>-9800</v>
      </c>
      <c r="N158" s="18">
        <f>N157+Table54[[#This Row],[Difference]]</f>
        <v>87068.984559270495</v>
      </c>
      <c r="O158" s="22"/>
      <c r="P158" s="22" t="s">
        <v>29</v>
      </c>
      <c r="Q158" s="51" t="s">
        <v>86</v>
      </c>
      <c r="R158" s="18" t="s">
        <v>343</v>
      </c>
      <c r="S158" s="22" t="s">
        <v>375</v>
      </c>
      <c r="T158" s="193"/>
      <c r="U158" s="2"/>
    </row>
    <row r="159" spans="1:21" hidden="1" x14ac:dyDescent="0.2">
      <c r="A159" s="23" t="s">
        <v>34</v>
      </c>
      <c r="B159" s="1"/>
      <c r="C159" s="45">
        <v>151</v>
      </c>
      <c r="D159" s="24" t="s">
        <v>34</v>
      </c>
      <c r="E159" s="148" t="s">
        <v>304</v>
      </c>
      <c r="F159" s="48">
        <v>43042</v>
      </c>
      <c r="G159" s="22"/>
      <c r="H159" s="22"/>
      <c r="I159" s="49">
        <v>0</v>
      </c>
      <c r="J159" s="49"/>
      <c r="K159" s="146"/>
      <c r="L159" s="22">
        <v>1800</v>
      </c>
      <c r="M159" s="18">
        <f>Table54[[#This Row],[Credit]]-Table54[[#This Row],[Debit]]</f>
        <v>-1800</v>
      </c>
      <c r="N159" s="18">
        <f>N158+Table54[[#This Row],[Difference]]</f>
        <v>85268.984559270495</v>
      </c>
      <c r="O159" s="22"/>
      <c r="P159" s="22" t="s">
        <v>29</v>
      </c>
      <c r="Q159" s="51" t="s">
        <v>86</v>
      </c>
      <c r="R159" s="18" t="s">
        <v>343</v>
      </c>
      <c r="S159" s="22" t="s">
        <v>375</v>
      </c>
      <c r="T159" s="193"/>
      <c r="U159" s="2"/>
    </row>
    <row r="160" spans="1:21" hidden="1" x14ac:dyDescent="0.2">
      <c r="A160" s="23" t="s">
        <v>34</v>
      </c>
      <c r="B160" s="1"/>
      <c r="C160" s="45">
        <v>152</v>
      </c>
      <c r="D160" s="24" t="s">
        <v>34</v>
      </c>
      <c r="E160" s="53" t="s">
        <v>314</v>
      </c>
      <c r="F160" s="48">
        <v>43042</v>
      </c>
      <c r="G160" s="22"/>
      <c r="H160" s="22"/>
      <c r="I160" s="49">
        <v>0</v>
      </c>
      <c r="J160" s="49"/>
      <c r="K160" s="146"/>
      <c r="L160" s="146">
        <v>2200</v>
      </c>
      <c r="M160" s="18">
        <f>Table54[[#This Row],[Credit]]-Table54[[#This Row],[Debit]]</f>
        <v>-2200</v>
      </c>
      <c r="N160" s="18">
        <f>N159+Table54[[#This Row],[Difference]]</f>
        <v>83068.984559270495</v>
      </c>
      <c r="O160" s="22"/>
      <c r="P160" s="22" t="s">
        <v>29</v>
      </c>
      <c r="Q160" s="18" t="s">
        <v>71</v>
      </c>
      <c r="R160" s="22"/>
      <c r="S160" s="22"/>
      <c r="T160" s="193"/>
      <c r="U160" s="2"/>
    </row>
    <row r="161" spans="1:21" hidden="1" x14ac:dyDescent="0.2">
      <c r="A161" s="23" t="s">
        <v>34</v>
      </c>
      <c r="B161" s="1"/>
      <c r="C161" s="45">
        <v>153</v>
      </c>
      <c r="D161" s="24" t="s">
        <v>34</v>
      </c>
      <c r="E161" s="148" t="s">
        <v>305</v>
      </c>
      <c r="F161" s="48">
        <v>43043</v>
      </c>
      <c r="G161" s="22"/>
      <c r="H161" s="22"/>
      <c r="I161" s="49">
        <v>0</v>
      </c>
      <c r="J161" s="49"/>
      <c r="K161" s="146"/>
      <c r="L161" s="22">
        <v>10000</v>
      </c>
      <c r="M161" s="18">
        <f>Table54[[#This Row],[Credit]]-Table54[[#This Row],[Debit]]</f>
        <v>-10000</v>
      </c>
      <c r="N161" s="18">
        <f>N160+Table54[[#This Row],[Difference]]</f>
        <v>73068.984559270495</v>
      </c>
      <c r="O161" s="22"/>
      <c r="P161" s="22" t="s">
        <v>29</v>
      </c>
      <c r="Q161" s="51" t="s">
        <v>86</v>
      </c>
      <c r="R161" s="18" t="s">
        <v>343</v>
      </c>
      <c r="S161" s="22" t="s">
        <v>375</v>
      </c>
      <c r="T161" s="193"/>
      <c r="U161" s="2"/>
    </row>
    <row r="162" spans="1:21" hidden="1" x14ac:dyDescent="0.2">
      <c r="A162" s="23" t="s">
        <v>34</v>
      </c>
      <c r="B162" s="1"/>
      <c r="C162" s="45">
        <v>154</v>
      </c>
      <c r="D162" s="24" t="s">
        <v>34</v>
      </c>
      <c r="E162" s="227" t="s">
        <v>301</v>
      </c>
      <c r="F162" s="48">
        <v>43044</v>
      </c>
      <c r="G162" s="22"/>
      <c r="H162" s="22"/>
      <c r="I162" s="49">
        <v>0</v>
      </c>
      <c r="J162" s="49"/>
      <c r="K162" s="146"/>
      <c r="L162" s="22">
        <v>17800</v>
      </c>
      <c r="M162" s="18">
        <f>Table54[[#This Row],[Credit]]-Table54[[#This Row],[Debit]]</f>
        <v>-17800</v>
      </c>
      <c r="N162" s="18">
        <f>N161+Table54[[#This Row],[Difference]]</f>
        <v>55268.984559270495</v>
      </c>
      <c r="O162" s="22"/>
      <c r="P162" s="22" t="s">
        <v>29</v>
      </c>
      <c r="Q162" s="51" t="s">
        <v>86</v>
      </c>
      <c r="R162" s="18" t="s">
        <v>343</v>
      </c>
      <c r="S162" s="22" t="s">
        <v>375</v>
      </c>
      <c r="T162" s="193"/>
      <c r="U162" s="2"/>
    </row>
    <row r="163" spans="1:21" hidden="1" x14ac:dyDescent="0.2">
      <c r="A163" s="23" t="s">
        <v>34</v>
      </c>
      <c r="B163" s="1"/>
      <c r="C163" s="45">
        <v>155</v>
      </c>
      <c r="D163" s="24" t="s">
        <v>34</v>
      </c>
      <c r="E163" s="148" t="s">
        <v>306</v>
      </c>
      <c r="F163" s="48">
        <v>43045</v>
      </c>
      <c r="G163" s="22"/>
      <c r="H163" s="22"/>
      <c r="I163" s="49">
        <v>0</v>
      </c>
      <c r="J163" s="49"/>
      <c r="K163" s="146"/>
      <c r="L163" s="22">
        <v>19800</v>
      </c>
      <c r="M163" s="18">
        <f>Table54[[#This Row],[Credit]]-Table54[[#This Row],[Debit]]</f>
        <v>-19800</v>
      </c>
      <c r="N163" s="18">
        <f>N162+Table54[[#This Row],[Difference]]</f>
        <v>35468.984559270495</v>
      </c>
      <c r="O163" s="22"/>
      <c r="P163" s="22" t="s">
        <v>29</v>
      </c>
      <c r="Q163" s="51" t="s">
        <v>86</v>
      </c>
      <c r="R163" s="18" t="s">
        <v>343</v>
      </c>
      <c r="S163" s="22" t="s">
        <v>375</v>
      </c>
      <c r="T163" s="193"/>
      <c r="U163" s="2"/>
    </row>
    <row r="164" spans="1:21" hidden="1" x14ac:dyDescent="0.2">
      <c r="A164" s="23" t="s">
        <v>34</v>
      </c>
      <c r="B164" s="1"/>
      <c r="C164" s="45">
        <v>156</v>
      </c>
      <c r="D164" s="24" t="s">
        <v>34</v>
      </c>
      <c r="E164" s="148" t="s">
        <v>315</v>
      </c>
      <c r="F164" s="48">
        <v>43045</v>
      </c>
      <c r="G164" s="22"/>
      <c r="H164" s="22"/>
      <c r="I164" s="49">
        <v>0</v>
      </c>
      <c r="J164" s="49"/>
      <c r="K164" s="152">
        <v>73983</v>
      </c>
      <c r="L164" s="22"/>
      <c r="M164" s="18">
        <f>Table54[[#This Row],[Credit]]-Table54[[#This Row],[Debit]]</f>
        <v>73983</v>
      </c>
      <c r="N164" s="18">
        <f>N163+Table54[[#This Row],[Difference]]</f>
        <v>109451.9845592705</v>
      </c>
      <c r="O164" s="22"/>
      <c r="P164" s="18" t="s">
        <v>25</v>
      </c>
      <c r="Q164" s="18" t="s">
        <v>48</v>
      </c>
      <c r="R164" s="18" t="s">
        <v>343</v>
      </c>
      <c r="S164" s="22" t="s">
        <v>375</v>
      </c>
      <c r="T164" s="193"/>
      <c r="U164" s="2"/>
    </row>
    <row r="165" spans="1:21" hidden="1" x14ac:dyDescent="0.2">
      <c r="A165" s="23" t="s">
        <v>34</v>
      </c>
      <c r="B165" s="1"/>
      <c r="C165" s="45">
        <v>157</v>
      </c>
      <c r="D165" s="24" t="s">
        <v>34</v>
      </c>
      <c r="E165" s="148" t="s">
        <v>318</v>
      </c>
      <c r="F165" s="48">
        <v>43045</v>
      </c>
      <c r="G165" s="22"/>
      <c r="H165" s="22"/>
      <c r="I165" s="49">
        <v>0</v>
      </c>
      <c r="J165" s="49"/>
      <c r="K165" s="22"/>
      <c r="L165" s="22">
        <v>52</v>
      </c>
      <c r="M165" s="18">
        <f>Table54[[#This Row],[Credit]]-Table54[[#This Row],[Debit]]</f>
        <v>-52</v>
      </c>
      <c r="N165" s="18">
        <f>N164+Table54[[#This Row],[Difference]]</f>
        <v>109399.9845592705</v>
      </c>
      <c r="O165" s="22"/>
      <c r="P165" s="18" t="s">
        <v>386</v>
      </c>
      <c r="Q165" s="22" t="s">
        <v>388</v>
      </c>
      <c r="R165" s="18" t="s">
        <v>343</v>
      </c>
      <c r="S165" s="22" t="s">
        <v>375</v>
      </c>
      <c r="T165" s="193"/>
      <c r="U165" s="2"/>
    </row>
    <row r="166" spans="1:21" hidden="1" x14ac:dyDescent="0.2">
      <c r="A166" s="23" t="s">
        <v>34</v>
      </c>
      <c r="B166" s="1"/>
      <c r="C166" s="45">
        <v>158</v>
      </c>
      <c r="D166" s="24" t="s">
        <v>34</v>
      </c>
      <c r="E166" s="53" t="s">
        <v>384</v>
      </c>
      <c r="F166" s="48">
        <v>43046</v>
      </c>
      <c r="G166" s="22"/>
      <c r="H166" s="22"/>
      <c r="I166" s="49">
        <v>0</v>
      </c>
      <c r="J166" s="49"/>
      <c r="K166" s="22"/>
      <c r="L166" s="146">
        <v>30000</v>
      </c>
      <c r="M166" s="18">
        <f>Table54[[#This Row],[Credit]]-Table54[[#This Row],[Debit]]</f>
        <v>-30000</v>
      </c>
      <c r="N166" s="18">
        <f>N165+Table54[[#This Row],[Difference]]</f>
        <v>79399.984559270495</v>
      </c>
      <c r="O166" s="22"/>
      <c r="P166" s="22" t="s">
        <v>29</v>
      </c>
      <c r="Q166" s="18" t="s">
        <v>71</v>
      </c>
      <c r="R166" s="22"/>
      <c r="S166" s="22"/>
      <c r="T166" s="193"/>
      <c r="U166" s="2"/>
    </row>
    <row r="167" spans="1:21" hidden="1" x14ac:dyDescent="0.2">
      <c r="A167" s="23" t="s">
        <v>34</v>
      </c>
      <c r="B167" s="1"/>
      <c r="C167" s="45">
        <v>159</v>
      </c>
      <c r="D167" s="24" t="s">
        <v>34</v>
      </c>
      <c r="E167" s="53" t="s">
        <v>319</v>
      </c>
      <c r="F167" s="48">
        <v>43046</v>
      </c>
      <c r="G167" s="22"/>
      <c r="H167" s="22"/>
      <c r="I167" s="49">
        <v>0</v>
      </c>
      <c r="J167" s="49"/>
      <c r="K167" s="22"/>
      <c r="L167" s="22">
        <v>2964</v>
      </c>
      <c r="M167" s="18">
        <f>Table54[[#This Row],[Credit]]-Table54[[#This Row],[Debit]]</f>
        <v>-2964</v>
      </c>
      <c r="N167" s="18">
        <f>N166+Table54[[#This Row],[Difference]]</f>
        <v>76435.984559270495</v>
      </c>
      <c r="O167" s="22"/>
      <c r="P167" s="22" t="s">
        <v>29</v>
      </c>
      <c r="Q167" s="51" t="s">
        <v>79</v>
      </c>
      <c r="R167" s="22"/>
      <c r="S167" s="22"/>
      <c r="T167" s="193"/>
      <c r="U167" s="2"/>
    </row>
    <row r="168" spans="1:21" hidden="1" x14ac:dyDescent="0.2">
      <c r="A168" s="23" t="s">
        <v>34</v>
      </c>
      <c r="B168" s="1"/>
      <c r="C168" s="199">
        <v>160</v>
      </c>
      <c r="D168" s="142" t="s">
        <v>34</v>
      </c>
      <c r="E168" s="148" t="s">
        <v>318</v>
      </c>
      <c r="F168" s="177">
        <v>43047</v>
      </c>
      <c r="G168" s="146"/>
      <c r="H168" s="146"/>
      <c r="I168" s="178"/>
      <c r="J168" s="178"/>
      <c r="K168" s="146"/>
      <c r="L168" s="146">
        <v>2500</v>
      </c>
      <c r="M168" s="18">
        <f>Table54[[#This Row],[Credit]]-Table54[[#This Row],[Debit]]</f>
        <v>-2500</v>
      </c>
      <c r="N168" s="18">
        <f>N167+Table54[[#This Row],[Difference]]</f>
        <v>73935.984559270495</v>
      </c>
      <c r="O168" s="146"/>
      <c r="P168" s="18" t="s">
        <v>386</v>
      </c>
      <c r="Q168" s="22" t="s">
        <v>388</v>
      </c>
      <c r="R168" s="192"/>
      <c r="S168" s="22"/>
      <c r="T168" s="146"/>
      <c r="U168" s="2"/>
    </row>
    <row r="169" spans="1:21" hidden="1" x14ac:dyDescent="0.2">
      <c r="A169" s="23" t="s">
        <v>34</v>
      </c>
      <c r="B169" s="1"/>
      <c r="C169" s="45">
        <v>160</v>
      </c>
      <c r="D169" s="24" t="s">
        <v>34</v>
      </c>
      <c r="E169" s="148" t="s">
        <v>321</v>
      </c>
      <c r="F169" s="48">
        <v>43047</v>
      </c>
      <c r="G169" s="22"/>
      <c r="H169" s="22"/>
      <c r="I169" s="49">
        <v>0</v>
      </c>
      <c r="J169" s="49"/>
      <c r="K169" s="22"/>
      <c r="L169" s="22">
        <v>3523.6</v>
      </c>
      <c r="M169" s="18">
        <f>Table54[[#This Row],[Credit]]-Table54[[#This Row],[Debit]]</f>
        <v>-3523.6</v>
      </c>
      <c r="N169" s="18">
        <f>N168+Table54[[#This Row],[Difference]]</f>
        <v>70412.384559270489</v>
      </c>
      <c r="O169" s="22"/>
      <c r="P169" s="22" t="s">
        <v>29</v>
      </c>
      <c r="Q169" s="51" t="s">
        <v>38</v>
      </c>
      <c r="R169" s="22"/>
      <c r="S169" s="22"/>
      <c r="T169" s="193" t="s">
        <v>335</v>
      </c>
      <c r="U169" s="2"/>
    </row>
    <row r="170" spans="1:21" hidden="1" x14ac:dyDescent="0.2">
      <c r="A170" s="23" t="s">
        <v>34</v>
      </c>
      <c r="B170" s="1"/>
      <c r="C170" s="45">
        <v>161</v>
      </c>
      <c r="D170" s="24" t="s">
        <v>34</v>
      </c>
      <c r="E170" s="53" t="s">
        <v>385</v>
      </c>
      <c r="F170" s="48">
        <v>43047</v>
      </c>
      <c r="G170" s="22"/>
      <c r="H170" s="22"/>
      <c r="I170" s="49">
        <v>0</v>
      </c>
      <c r="J170" s="49"/>
      <c r="K170" s="22"/>
      <c r="L170" s="146">
        <v>9650</v>
      </c>
      <c r="M170" s="18">
        <f>Table54[[#This Row],[Credit]]-Table54[[#This Row],[Debit]]</f>
        <v>-9650</v>
      </c>
      <c r="N170" s="18">
        <f>N169+Table54[[#This Row],[Difference]]</f>
        <v>60762.384559270489</v>
      </c>
      <c r="O170" s="22"/>
      <c r="P170" s="22" t="s">
        <v>29</v>
      </c>
      <c r="Q170" s="18" t="s">
        <v>71</v>
      </c>
      <c r="R170" s="22"/>
      <c r="S170" s="22"/>
      <c r="T170" s="193"/>
      <c r="U170" s="2"/>
    </row>
    <row r="171" spans="1:21" hidden="1" x14ac:dyDescent="0.2">
      <c r="A171" s="23" t="s">
        <v>34</v>
      </c>
      <c r="B171" s="1"/>
      <c r="C171" s="45">
        <v>162</v>
      </c>
      <c r="D171" s="24" t="s">
        <v>34</v>
      </c>
      <c r="E171" s="148" t="s">
        <v>339</v>
      </c>
      <c r="F171" s="48">
        <v>43048</v>
      </c>
      <c r="G171" s="22"/>
      <c r="H171" s="22"/>
      <c r="I171" s="49">
        <v>0</v>
      </c>
      <c r="J171" s="49"/>
      <c r="K171" s="22"/>
      <c r="L171" s="22">
        <v>2109.84</v>
      </c>
      <c r="M171" s="18">
        <f>Table54[[#This Row],[Credit]]-Table54[[#This Row],[Debit]]</f>
        <v>-2109.84</v>
      </c>
      <c r="N171" s="18">
        <f>N170+Table54[[#This Row],[Difference]]</f>
        <v>58652.544559270493</v>
      </c>
      <c r="O171" s="22"/>
      <c r="P171" s="22" t="s">
        <v>29</v>
      </c>
      <c r="Q171" s="51" t="s">
        <v>79</v>
      </c>
      <c r="R171" s="22"/>
      <c r="S171" s="22"/>
      <c r="T171" s="146" t="s">
        <v>342</v>
      </c>
      <c r="U171" s="2"/>
    </row>
    <row r="172" spans="1:21" hidden="1" x14ac:dyDescent="0.2">
      <c r="A172" s="23" t="s">
        <v>34</v>
      </c>
      <c r="B172" s="1"/>
      <c r="C172" s="45">
        <v>163</v>
      </c>
      <c r="D172" s="24" t="s">
        <v>34</v>
      </c>
      <c r="E172" s="148" t="s">
        <v>340</v>
      </c>
      <c r="F172" s="48">
        <v>43048</v>
      </c>
      <c r="G172" s="22"/>
      <c r="H172" s="22"/>
      <c r="I172" s="49">
        <v>0</v>
      </c>
      <c r="J172" s="49"/>
      <c r="K172" s="22"/>
      <c r="L172" s="22">
        <v>13799</v>
      </c>
      <c r="M172" s="18">
        <f>Table54[[#This Row],[Credit]]-Table54[[#This Row],[Debit]]</f>
        <v>-13799</v>
      </c>
      <c r="N172" s="18">
        <f>N171+Table54[[#This Row],[Difference]]</f>
        <v>44853.544559270493</v>
      </c>
      <c r="O172" s="22"/>
      <c r="P172" s="22" t="s">
        <v>29</v>
      </c>
      <c r="Q172" s="51" t="s">
        <v>162</v>
      </c>
      <c r="R172" s="22"/>
      <c r="S172" s="22"/>
      <c r="T172" s="146" t="s">
        <v>335</v>
      </c>
      <c r="U172" s="2"/>
    </row>
    <row r="173" spans="1:21" hidden="1" x14ac:dyDescent="0.2">
      <c r="A173" s="23" t="s">
        <v>34</v>
      </c>
      <c r="B173" s="1"/>
      <c r="C173" s="45">
        <v>164</v>
      </c>
      <c r="D173" s="24" t="s">
        <v>34</v>
      </c>
      <c r="E173" s="148" t="s">
        <v>315</v>
      </c>
      <c r="F173" s="48">
        <v>43049</v>
      </c>
      <c r="G173" s="22"/>
      <c r="H173" s="22"/>
      <c r="I173" s="49">
        <v>0</v>
      </c>
      <c r="J173" s="49"/>
      <c r="K173" s="152">
        <v>110568</v>
      </c>
      <c r="L173" s="22"/>
      <c r="M173" s="18">
        <f>Table54[[#This Row],[Credit]]-Table54[[#This Row],[Debit]]</f>
        <v>110568</v>
      </c>
      <c r="N173" s="18">
        <f>N172+Table54[[#This Row],[Difference]]</f>
        <v>155421.54455927049</v>
      </c>
      <c r="O173" s="22"/>
      <c r="P173" s="18" t="s">
        <v>25</v>
      </c>
      <c r="Q173" s="18" t="s">
        <v>48</v>
      </c>
      <c r="R173" s="18" t="s">
        <v>343</v>
      </c>
      <c r="S173" s="22" t="s">
        <v>375</v>
      </c>
      <c r="T173" s="146"/>
      <c r="U173" s="2"/>
    </row>
    <row r="174" spans="1:21" hidden="1" x14ac:dyDescent="0.2">
      <c r="A174" s="23" t="s">
        <v>34</v>
      </c>
      <c r="B174" s="1"/>
      <c r="C174" s="45">
        <v>165</v>
      </c>
      <c r="D174" s="24" t="s">
        <v>34</v>
      </c>
      <c r="E174" s="148" t="s">
        <v>318</v>
      </c>
      <c r="F174" s="177">
        <v>43049</v>
      </c>
      <c r="G174" s="146"/>
      <c r="H174" s="146"/>
      <c r="I174" s="178"/>
      <c r="J174" s="178"/>
      <c r="K174" s="146"/>
      <c r="L174" s="146">
        <v>50</v>
      </c>
      <c r="M174" s="18">
        <f>Table54[[#This Row],[Credit]]-Table54[[#This Row],[Debit]]</f>
        <v>-50</v>
      </c>
      <c r="N174" s="18">
        <f>N173+Table54[[#This Row],[Difference]]</f>
        <v>155371.54455927049</v>
      </c>
      <c r="O174" s="146"/>
      <c r="P174" s="18" t="s">
        <v>386</v>
      </c>
      <c r="Q174" s="22" t="s">
        <v>388</v>
      </c>
      <c r="R174" s="149"/>
      <c r="S174" s="22"/>
      <c r="T174" s="146"/>
      <c r="U174" s="2"/>
    </row>
    <row r="175" spans="1:21" hidden="1" x14ac:dyDescent="0.2">
      <c r="A175" s="23" t="s">
        <v>34</v>
      </c>
      <c r="B175" s="1"/>
      <c r="C175" s="45">
        <v>166</v>
      </c>
      <c r="D175" s="24" t="s">
        <v>34</v>
      </c>
      <c r="E175" s="53" t="s">
        <v>94</v>
      </c>
      <c r="F175" s="48">
        <v>43049</v>
      </c>
      <c r="G175" s="22"/>
      <c r="H175" s="22"/>
      <c r="I175" s="49">
        <v>0</v>
      </c>
      <c r="J175" s="49"/>
      <c r="K175" s="146"/>
      <c r="L175" s="22">
        <v>1525</v>
      </c>
      <c r="M175" s="18">
        <f>Table54[[#This Row],[Credit]]-Table54[[#This Row],[Debit]]</f>
        <v>-1525</v>
      </c>
      <c r="N175" s="18">
        <f>N174+Table54[[#This Row],[Difference]]</f>
        <v>153846.54455927049</v>
      </c>
      <c r="O175" s="18"/>
      <c r="P175" s="22" t="s">
        <v>29</v>
      </c>
      <c r="Q175" s="50" t="s">
        <v>30</v>
      </c>
      <c r="R175" s="22"/>
      <c r="S175" s="22"/>
      <c r="T175" s="146"/>
      <c r="U175" s="2"/>
    </row>
    <row r="176" spans="1:21" hidden="1" x14ac:dyDescent="0.2">
      <c r="A176" s="23" t="s">
        <v>34</v>
      </c>
      <c r="B176" s="1"/>
      <c r="C176" s="45">
        <v>179</v>
      </c>
      <c r="D176" s="24" t="s">
        <v>34</v>
      </c>
      <c r="E176" s="148" t="s">
        <v>315</v>
      </c>
      <c r="F176" s="48">
        <v>43049</v>
      </c>
      <c r="G176" s="22"/>
      <c r="H176" s="22"/>
      <c r="I176" s="49">
        <v>0</v>
      </c>
      <c r="J176" s="49"/>
      <c r="K176" s="152">
        <v>150865</v>
      </c>
      <c r="L176" s="22"/>
      <c r="M176" s="18">
        <f>Table54[[#This Row],[Credit]]-Table54[[#This Row],[Debit]]</f>
        <v>150865</v>
      </c>
      <c r="N176" s="18">
        <f>N175+Table54[[#This Row],[Difference]]</f>
        <v>304711.54455927049</v>
      </c>
      <c r="O176" s="22"/>
      <c r="P176" s="18" t="s">
        <v>25</v>
      </c>
      <c r="Q176" s="41" t="s">
        <v>48</v>
      </c>
      <c r="R176" s="18" t="s">
        <v>343</v>
      </c>
      <c r="S176" s="22" t="s">
        <v>375</v>
      </c>
      <c r="T176" s="146"/>
      <c r="U176" s="2"/>
    </row>
    <row r="177" spans="1:21" hidden="1" x14ac:dyDescent="0.2">
      <c r="A177" s="23" t="s">
        <v>34</v>
      </c>
      <c r="B177" s="1"/>
      <c r="C177" s="45">
        <v>167</v>
      </c>
      <c r="D177" s="24" t="s">
        <v>34</v>
      </c>
      <c r="E177" s="56" t="s">
        <v>345</v>
      </c>
      <c r="F177" s="48">
        <v>43053</v>
      </c>
      <c r="G177" s="22"/>
      <c r="H177" s="22"/>
      <c r="I177" s="49">
        <v>0</v>
      </c>
      <c r="J177" s="49"/>
      <c r="K177" s="146"/>
      <c r="L177" s="146">
        <v>3490</v>
      </c>
      <c r="M177" s="18">
        <f>Table54[[#This Row],[Credit]]-Table54[[#This Row],[Debit]]</f>
        <v>-3490</v>
      </c>
      <c r="N177" s="18">
        <f>N176+Table54[[#This Row],[Difference]]</f>
        <v>301221.54455927049</v>
      </c>
      <c r="O177" s="22"/>
      <c r="P177" s="22" t="s">
        <v>29</v>
      </c>
      <c r="Q177" s="50" t="s">
        <v>71</v>
      </c>
      <c r="R177" s="22"/>
      <c r="S177" s="52"/>
      <c r="T177" s="193" t="s">
        <v>342</v>
      </c>
      <c r="U177" s="2"/>
    </row>
    <row r="178" spans="1:21" hidden="1" x14ac:dyDescent="0.2">
      <c r="A178" s="23" t="s">
        <v>34</v>
      </c>
      <c r="B178" s="1"/>
      <c r="C178" s="45">
        <v>168</v>
      </c>
      <c r="D178" s="24" t="s">
        <v>34</v>
      </c>
      <c r="E178" s="53" t="s">
        <v>132</v>
      </c>
      <c r="F178" s="48">
        <v>43053</v>
      </c>
      <c r="G178" s="22"/>
      <c r="H178" s="22"/>
      <c r="I178" s="49">
        <v>0</v>
      </c>
      <c r="J178" s="49"/>
      <c r="K178" s="146"/>
      <c r="L178" s="22">
        <v>2360</v>
      </c>
      <c r="M178" s="223">
        <f>Table54[[#This Row],[Credit]]-Table54[[#This Row],[Debit]]</f>
        <v>-2360</v>
      </c>
      <c r="N178" s="18">
        <f>N177+Table54[[#This Row],[Difference]]</f>
        <v>298861.54455927049</v>
      </c>
      <c r="O178" s="22"/>
      <c r="P178" s="22" t="s">
        <v>29</v>
      </c>
      <c r="Q178" s="50" t="s">
        <v>44</v>
      </c>
      <c r="R178" s="22"/>
      <c r="S178" s="22"/>
      <c r="T178" s="146"/>
      <c r="U178" s="2"/>
    </row>
    <row r="179" spans="1:21" hidden="1" x14ac:dyDescent="0.2">
      <c r="A179" s="23" t="s">
        <v>34</v>
      </c>
      <c r="B179" s="1"/>
      <c r="C179" s="45">
        <v>169</v>
      </c>
      <c r="D179" s="24" t="s">
        <v>34</v>
      </c>
      <c r="E179" s="53" t="s">
        <v>350</v>
      </c>
      <c r="F179" s="48">
        <v>43054</v>
      </c>
      <c r="G179" s="22"/>
      <c r="H179" s="22"/>
      <c r="I179" s="49">
        <v>0</v>
      </c>
      <c r="J179" s="49"/>
      <c r="K179" s="146"/>
      <c r="L179" s="22">
        <v>1225</v>
      </c>
      <c r="M179" s="223">
        <f>Table54[[#This Row],[Credit]]-Table54[[#This Row],[Debit]]</f>
        <v>-1225</v>
      </c>
      <c r="N179" s="18">
        <f>N178+Table54[[#This Row],[Difference]]</f>
        <v>297636.54455927049</v>
      </c>
      <c r="O179" s="22"/>
      <c r="P179" s="22" t="s">
        <v>29</v>
      </c>
      <c r="Q179" s="50" t="s">
        <v>112</v>
      </c>
      <c r="R179" s="22"/>
      <c r="S179" s="22"/>
      <c r="T179" s="146" t="s">
        <v>342</v>
      </c>
      <c r="U179" s="2"/>
    </row>
    <row r="180" spans="1:21" hidden="1" x14ac:dyDescent="0.2">
      <c r="A180" s="23" t="s">
        <v>34</v>
      </c>
      <c r="B180" s="1"/>
      <c r="C180" s="45">
        <v>170</v>
      </c>
      <c r="D180" s="24" t="s">
        <v>34</v>
      </c>
      <c r="E180" s="53" t="s">
        <v>351</v>
      </c>
      <c r="F180" s="48">
        <v>43054</v>
      </c>
      <c r="G180" s="22"/>
      <c r="H180" s="22"/>
      <c r="I180" s="49">
        <v>0</v>
      </c>
      <c r="J180" s="49"/>
      <c r="K180" s="146"/>
      <c r="L180" s="22">
        <v>1107</v>
      </c>
      <c r="M180" s="223">
        <f>Table54[[#This Row],[Credit]]-Table54[[#This Row],[Debit]]</f>
        <v>-1107</v>
      </c>
      <c r="N180" s="18">
        <f>N179+Table54[[#This Row],[Difference]]</f>
        <v>296529.54455927049</v>
      </c>
      <c r="O180" s="22"/>
      <c r="P180" s="22" t="s">
        <v>29</v>
      </c>
      <c r="Q180" s="50" t="s">
        <v>112</v>
      </c>
      <c r="R180" s="22"/>
      <c r="S180" s="22"/>
      <c r="T180" s="146" t="s">
        <v>342</v>
      </c>
      <c r="U180" s="2"/>
    </row>
    <row r="181" spans="1:21" hidden="1" x14ac:dyDescent="0.2">
      <c r="A181" s="23" t="s">
        <v>34</v>
      </c>
      <c r="B181" s="1"/>
      <c r="C181" s="45">
        <v>171</v>
      </c>
      <c r="D181" s="24" t="s">
        <v>34</v>
      </c>
      <c r="E181" s="53" t="s">
        <v>352</v>
      </c>
      <c r="F181" s="48">
        <v>43054</v>
      </c>
      <c r="G181" s="22"/>
      <c r="H181" s="22"/>
      <c r="I181" s="49">
        <v>0</v>
      </c>
      <c r="J181" s="49"/>
      <c r="K181" s="146"/>
      <c r="L181" s="146">
        <v>3698</v>
      </c>
      <c r="M181" s="223">
        <f>Table54[[#This Row],[Credit]]-Table54[[#This Row],[Debit]]</f>
        <v>-3698</v>
      </c>
      <c r="N181" s="18">
        <f>N180+Table54[[#This Row],[Difference]]</f>
        <v>292831.54455927049</v>
      </c>
      <c r="O181" s="22"/>
      <c r="P181" s="22" t="s">
        <v>29</v>
      </c>
      <c r="Q181" s="50" t="s">
        <v>71</v>
      </c>
      <c r="R181" s="22"/>
      <c r="S181" s="22"/>
      <c r="T181" s="146" t="s">
        <v>342</v>
      </c>
      <c r="U181" s="2"/>
    </row>
    <row r="182" spans="1:21" hidden="1" x14ac:dyDescent="0.2">
      <c r="A182" s="23" t="s">
        <v>34</v>
      </c>
      <c r="B182" s="1"/>
      <c r="C182" s="45">
        <v>172</v>
      </c>
      <c r="D182" s="24" t="s">
        <v>34</v>
      </c>
      <c r="E182" s="53" t="s">
        <v>383</v>
      </c>
      <c r="F182" s="48">
        <v>43055</v>
      </c>
      <c r="G182" s="22"/>
      <c r="H182" s="22"/>
      <c r="I182" s="49">
        <v>0</v>
      </c>
      <c r="J182" s="49"/>
      <c r="K182" s="146"/>
      <c r="L182" s="146">
        <v>6100</v>
      </c>
      <c r="M182" s="223">
        <f>Table54[[#This Row],[Credit]]-Table54[[#This Row],[Debit]]</f>
        <v>-6100</v>
      </c>
      <c r="N182" s="18">
        <f>N181+Table54[[#This Row],[Difference]]</f>
        <v>286731.54455927049</v>
      </c>
      <c r="O182" s="22"/>
      <c r="P182" s="22" t="s">
        <v>29</v>
      </c>
      <c r="Q182" s="50" t="s">
        <v>71</v>
      </c>
      <c r="R182" s="22" t="s">
        <v>343</v>
      </c>
      <c r="S182" s="22"/>
      <c r="T182" s="146" t="s">
        <v>342</v>
      </c>
      <c r="U182" s="2"/>
    </row>
    <row r="183" spans="1:21" hidden="1" x14ac:dyDescent="0.2">
      <c r="A183" s="23" t="s">
        <v>34</v>
      </c>
      <c r="B183" s="1"/>
      <c r="C183" s="45">
        <v>173</v>
      </c>
      <c r="D183" s="24" t="s">
        <v>34</v>
      </c>
      <c r="E183" s="15" t="s">
        <v>354</v>
      </c>
      <c r="F183" s="17">
        <v>43056</v>
      </c>
      <c r="G183" s="18"/>
      <c r="H183" s="18"/>
      <c r="I183" s="20"/>
      <c r="J183" s="20"/>
      <c r="K183" s="29"/>
      <c r="L183" s="130">
        <v>3889</v>
      </c>
      <c r="M183" s="18">
        <f>Table54[[#This Row],[Credit]]-Table54[[#This Row],[Debit]]</f>
        <v>-3889</v>
      </c>
      <c r="N183" s="18">
        <f>N182+Table54[[#This Row],[Difference]]</f>
        <v>282842.54455927049</v>
      </c>
      <c r="O183" s="18"/>
      <c r="P183" s="22" t="s">
        <v>29</v>
      </c>
      <c r="Q183" s="41" t="s">
        <v>79</v>
      </c>
      <c r="R183" s="18"/>
      <c r="S183" s="18"/>
      <c r="T183" s="29" t="s">
        <v>342</v>
      </c>
      <c r="U183" s="2"/>
    </row>
    <row r="184" spans="1:21" hidden="1" x14ac:dyDescent="0.2">
      <c r="A184" s="23" t="s">
        <v>34</v>
      </c>
      <c r="B184" s="1"/>
      <c r="C184" s="45">
        <v>174</v>
      </c>
      <c r="D184" s="24" t="s">
        <v>34</v>
      </c>
      <c r="E184" s="53" t="s">
        <v>353</v>
      </c>
      <c r="F184" s="48">
        <v>43056</v>
      </c>
      <c r="G184" s="22"/>
      <c r="H184" s="22"/>
      <c r="I184" s="49">
        <v>0</v>
      </c>
      <c r="J184" s="49"/>
      <c r="K184" s="146"/>
      <c r="L184" s="224">
        <v>1200</v>
      </c>
      <c r="M184" s="223">
        <f>Table54[[#This Row],[Credit]]-Table54[[#This Row],[Debit]]</f>
        <v>-1200</v>
      </c>
      <c r="N184" s="18">
        <f>N183+Table54[[#This Row],[Difference]]</f>
        <v>281642.54455927049</v>
      </c>
      <c r="O184" s="22"/>
      <c r="P184" s="22" t="s">
        <v>29</v>
      </c>
      <c r="Q184" s="22" t="s">
        <v>30</v>
      </c>
      <c r="R184" s="22"/>
      <c r="S184" s="22"/>
      <c r="T184" s="146" t="s">
        <v>342</v>
      </c>
      <c r="U184" s="2"/>
    </row>
    <row r="185" spans="1:21" hidden="1" x14ac:dyDescent="0.2">
      <c r="A185" s="23" t="s">
        <v>34</v>
      </c>
      <c r="B185" s="1"/>
      <c r="C185" s="45">
        <v>175</v>
      </c>
      <c r="D185" s="24" t="s">
        <v>34</v>
      </c>
      <c r="E185" s="148" t="s">
        <v>318</v>
      </c>
      <c r="F185" s="48">
        <v>43059</v>
      </c>
      <c r="G185" s="22"/>
      <c r="H185" s="22"/>
      <c r="I185" s="49">
        <v>0</v>
      </c>
      <c r="J185" s="49"/>
      <c r="K185" s="146"/>
      <c r="L185" s="22">
        <v>10000</v>
      </c>
      <c r="M185" s="223">
        <f>Table54[[#This Row],[Credit]]-Table54[[#This Row],[Debit]]</f>
        <v>-10000</v>
      </c>
      <c r="N185" s="18">
        <f>N184+Table54[[#This Row],[Difference]]</f>
        <v>271642.54455927049</v>
      </c>
      <c r="O185" s="22"/>
      <c r="P185" s="18" t="s">
        <v>386</v>
      </c>
      <c r="Q185" s="22" t="s">
        <v>388</v>
      </c>
      <c r="R185" s="22"/>
      <c r="S185" s="22"/>
      <c r="T185" s="146"/>
      <c r="U185" s="2"/>
    </row>
    <row r="186" spans="1:21" hidden="1" x14ac:dyDescent="0.2">
      <c r="A186" s="23" t="s">
        <v>34</v>
      </c>
      <c r="B186" s="1"/>
      <c r="C186" s="45">
        <v>176</v>
      </c>
      <c r="D186" s="24" t="s">
        <v>34</v>
      </c>
      <c r="E186" s="148" t="s">
        <v>355</v>
      </c>
      <c r="F186" s="48">
        <v>43059</v>
      </c>
      <c r="G186" s="22"/>
      <c r="H186" s="22"/>
      <c r="I186" s="49">
        <v>0</v>
      </c>
      <c r="J186" s="49"/>
      <c r="K186" s="146"/>
      <c r="L186" s="146">
        <v>2990</v>
      </c>
      <c r="M186" s="223">
        <f>Table54[[#This Row],[Credit]]-Table54[[#This Row],[Debit]]</f>
        <v>-2990</v>
      </c>
      <c r="N186" s="18">
        <f>N185+Table54[[#This Row],[Difference]]</f>
        <v>268652.54455927049</v>
      </c>
      <c r="O186" s="22"/>
      <c r="P186" s="22" t="s">
        <v>29</v>
      </c>
      <c r="Q186" s="50" t="s">
        <v>71</v>
      </c>
      <c r="R186" s="22"/>
      <c r="S186" s="22"/>
      <c r="T186" s="193"/>
      <c r="U186" s="2"/>
    </row>
    <row r="187" spans="1:21" hidden="1" x14ac:dyDescent="0.2">
      <c r="A187" s="147" t="s">
        <v>22</v>
      </c>
      <c r="B187" s="1"/>
      <c r="C187" s="143">
        <v>177</v>
      </c>
      <c r="D187" s="16" t="s">
        <v>23</v>
      </c>
      <c r="E187" s="53" t="s">
        <v>117</v>
      </c>
      <c r="F187" s="48">
        <v>43060</v>
      </c>
      <c r="G187" s="22"/>
      <c r="H187" s="22"/>
      <c r="I187" s="20">
        <v>0</v>
      </c>
      <c r="J187" s="49"/>
      <c r="K187" s="146"/>
      <c r="L187" s="22">
        <v>29.5</v>
      </c>
      <c r="M187" s="18">
        <f>Table54[[#This Row],[Credit]]-Table54[[#This Row],[Debit]]</f>
        <v>-29.5</v>
      </c>
      <c r="N187" s="18">
        <f>N186+Table54[[#This Row],[Difference]]</f>
        <v>268623.04455927049</v>
      </c>
      <c r="O187" s="22"/>
      <c r="P187" s="22" t="s">
        <v>81</v>
      </c>
      <c r="Q187" s="51" t="s">
        <v>82</v>
      </c>
      <c r="R187" s="22"/>
      <c r="S187" s="22"/>
      <c r="T187" s="193"/>
      <c r="U187" s="2"/>
    </row>
    <row r="188" spans="1:21" hidden="1" x14ac:dyDescent="0.2">
      <c r="A188" s="23" t="s">
        <v>34</v>
      </c>
      <c r="B188" s="1"/>
      <c r="C188" s="45">
        <v>178</v>
      </c>
      <c r="D188" s="24" t="s">
        <v>34</v>
      </c>
      <c r="E188" s="53" t="s">
        <v>117</v>
      </c>
      <c r="F188" s="48">
        <v>43060</v>
      </c>
      <c r="G188" s="22"/>
      <c r="H188" s="22"/>
      <c r="I188" s="20">
        <v>0</v>
      </c>
      <c r="J188" s="49"/>
      <c r="K188" s="146"/>
      <c r="L188" s="22">
        <v>29.5</v>
      </c>
      <c r="M188" s="18">
        <f>Table54[[#This Row],[Credit]]-Table54[[#This Row],[Debit]]</f>
        <v>-29.5</v>
      </c>
      <c r="N188" s="18">
        <f>N189+Table54[[#This Row],[Difference]]</f>
        <v>258327.54455927049</v>
      </c>
      <c r="O188" s="22"/>
      <c r="P188" s="22" t="s">
        <v>81</v>
      </c>
      <c r="Q188" s="51" t="s">
        <v>82</v>
      </c>
      <c r="R188" s="22"/>
      <c r="S188" s="22"/>
      <c r="T188" s="193"/>
    </row>
    <row r="189" spans="1:21" hidden="1" x14ac:dyDescent="0.2">
      <c r="A189" s="23" t="s">
        <v>34</v>
      </c>
      <c r="B189" s="1"/>
      <c r="C189" s="45">
        <v>179</v>
      </c>
      <c r="D189" s="24" t="s">
        <v>34</v>
      </c>
      <c r="E189" s="53" t="s">
        <v>61</v>
      </c>
      <c r="F189" s="48">
        <v>43060</v>
      </c>
      <c r="G189" s="22"/>
      <c r="H189" s="22"/>
      <c r="I189" s="20">
        <v>0</v>
      </c>
      <c r="J189" s="49"/>
      <c r="K189" s="146"/>
      <c r="L189" s="22">
        <v>10266</v>
      </c>
      <c r="M189" s="18">
        <f>Table54[[#This Row],[Credit]]-Table54[[#This Row],[Debit]]</f>
        <v>-10266</v>
      </c>
      <c r="N189" s="18">
        <f>N187+Table54[[#This Row],[Difference]]</f>
        <v>258357.04455927049</v>
      </c>
      <c r="O189" s="22"/>
      <c r="P189" s="22" t="s">
        <v>29</v>
      </c>
      <c r="Q189" s="53" t="s">
        <v>38</v>
      </c>
      <c r="R189" s="22"/>
      <c r="S189" s="22"/>
      <c r="T189" s="146"/>
      <c r="U189" s="2"/>
    </row>
    <row r="190" spans="1:21" hidden="1" x14ac:dyDescent="0.2">
      <c r="A190" s="23" t="s">
        <v>34</v>
      </c>
      <c r="B190" s="1"/>
      <c r="C190" s="45">
        <v>180</v>
      </c>
      <c r="D190" s="24" t="s">
        <v>34</v>
      </c>
      <c r="E190" s="15" t="s">
        <v>141</v>
      </c>
      <c r="F190" s="48">
        <v>43060</v>
      </c>
      <c r="G190" s="18"/>
      <c r="H190" s="18"/>
      <c r="I190" s="20">
        <v>0</v>
      </c>
      <c r="J190" s="20"/>
      <c r="K190" s="18"/>
      <c r="L190" s="18">
        <v>53079</v>
      </c>
      <c r="M190" s="18">
        <f>Table54[[#This Row],[Credit]]-Table54[[#This Row],[Debit]]</f>
        <v>-53079</v>
      </c>
      <c r="N190" s="18">
        <f>N189+Table54[[#This Row],[Difference]]</f>
        <v>205278.04455927049</v>
      </c>
      <c r="O190" s="18"/>
      <c r="P190" s="18" t="s">
        <v>29</v>
      </c>
      <c r="Q190" s="18" t="s">
        <v>86</v>
      </c>
      <c r="R190" s="22"/>
      <c r="S190" s="22"/>
      <c r="T190" s="193" t="s">
        <v>342</v>
      </c>
    </row>
    <row r="191" spans="1:21" hidden="1" x14ac:dyDescent="0.2">
      <c r="A191" s="23" t="s">
        <v>34</v>
      </c>
      <c r="B191" s="1"/>
      <c r="C191" s="45">
        <v>181</v>
      </c>
      <c r="D191" s="24" t="s">
        <v>34</v>
      </c>
      <c r="E191" s="148" t="s">
        <v>315</v>
      </c>
      <c r="F191" s="48">
        <v>43066</v>
      </c>
      <c r="G191" s="22"/>
      <c r="H191" s="22"/>
      <c r="I191" s="49">
        <v>0</v>
      </c>
      <c r="J191" s="49"/>
      <c r="K191" s="152">
        <v>150461</v>
      </c>
      <c r="L191" s="22"/>
      <c r="M191" s="18">
        <f>Table54[[#This Row],[Credit]]-Table54[[#This Row],[Debit]]</f>
        <v>150461</v>
      </c>
      <c r="N191" s="18">
        <f>N190+Table54[[#This Row],[Difference]]</f>
        <v>355739.04455927049</v>
      </c>
      <c r="O191" s="22"/>
      <c r="P191" s="18" t="s">
        <v>25</v>
      </c>
      <c r="Q191" s="18" t="s">
        <v>48</v>
      </c>
      <c r="R191" s="18" t="s">
        <v>343</v>
      </c>
      <c r="S191" s="22" t="s">
        <v>375</v>
      </c>
      <c r="T191" s="146"/>
      <c r="U191" s="2"/>
    </row>
    <row r="192" spans="1:21" hidden="1" x14ac:dyDescent="0.2">
      <c r="A192" s="23" t="s">
        <v>34</v>
      </c>
      <c r="B192" s="1"/>
      <c r="C192" s="45">
        <v>182</v>
      </c>
      <c r="D192" s="24" t="s">
        <v>34</v>
      </c>
      <c r="E192" s="148" t="s">
        <v>315</v>
      </c>
      <c r="F192" s="48">
        <v>43066</v>
      </c>
      <c r="G192" s="22"/>
      <c r="H192" s="22"/>
      <c r="I192" s="49">
        <v>0</v>
      </c>
      <c r="J192" s="49"/>
      <c r="K192" s="152">
        <v>74922</v>
      </c>
      <c r="L192" s="22"/>
      <c r="M192" s="18">
        <f>Table54[[#This Row],[Credit]]-Table54[[#This Row],[Debit]]</f>
        <v>74922</v>
      </c>
      <c r="N192" s="18">
        <f>N191+Table54[[#This Row],[Difference]]</f>
        <v>430661.04455927049</v>
      </c>
      <c r="O192" s="22"/>
      <c r="P192" s="18" t="s">
        <v>25</v>
      </c>
      <c r="Q192" s="18" t="s">
        <v>48</v>
      </c>
      <c r="R192" s="18" t="s">
        <v>343</v>
      </c>
      <c r="S192" s="22" t="s">
        <v>375</v>
      </c>
      <c r="T192" s="146"/>
      <c r="U192" s="2"/>
    </row>
    <row r="193" spans="1:20" hidden="1" x14ac:dyDescent="0.2">
      <c r="A193" s="23" t="s">
        <v>34</v>
      </c>
      <c r="B193" s="1"/>
      <c r="C193" s="45">
        <v>183</v>
      </c>
      <c r="D193" s="24" t="s">
        <v>34</v>
      </c>
      <c r="E193" s="148" t="s">
        <v>362</v>
      </c>
      <c r="F193" s="48">
        <v>43067</v>
      </c>
      <c r="G193" s="22"/>
      <c r="H193" s="22"/>
      <c r="I193" s="49">
        <v>0</v>
      </c>
      <c r="J193" s="49"/>
      <c r="K193" s="22"/>
      <c r="L193" s="223">
        <v>2875</v>
      </c>
      <c r="M193" s="18">
        <f>Table54[[#This Row],[Credit]]-Table54[[#This Row],[Debit]]</f>
        <v>-2875</v>
      </c>
      <c r="N193" s="18">
        <f>N192+Table54[[#This Row],[Difference]]</f>
        <v>427786.04455927049</v>
      </c>
      <c r="O193" s="22"/>
      <c r="P193" s="18" t="s">
        <v>29</v>
      </c>
      <c r="Q193" s="50" t="s">
        <v>363</v>
      </c>
      <c r="R193" s="22" t="s">
        <v>343</v>
      </c>
      <c r="S193" s="22" t="s">
        <v>375</v>
      </c>
      <c r="T193" s="146"/>
    </row>
    <row r="194" spans="1:20" hidden="1" x14ac:dyDescent="0.2">
      <c r="A194" s="23" t="s">
        <v>34</v>
      </c>
      <c r="B194" s="1"/>
      <c r="C194" s="45">
        <v>184</v>
      </c>
      <c r="D194" s="24" t="s">
        <v>34</v>
      </c>
      <c r="E194" s="148" t="s">
        <v>318</v>
      </c>
      <c r="F194" s="48">
        <v>43068</v>
      </c>
      <c r="G194" s="22"/>
      <c r="H194" s="22"/>
      <c r="I194" s="49">
        <v>0</v>
      </c>
      <c r="J194" s="49"/>
      <c r="K194" s="146"/>
      <c r="L194" s="22">
        <v>15000</v>
      </c>
      <c r="M194" s="18">
        <f>Table54[[#This Row],[Credit]]-Table54[[#This Row],[Debit]]</f>
        <v>-15000</v>
      </c>
      <c r="N194" s="18">
        <f>N193+Table54[[#This Row],[Difference]]</f>
        <v>412786.04455927049</v>
      </c>
      <c r="O194" s="22"/>
      <c r="P194" s="18" t="s">
        <v>386</v>
      </c>
      <c r="Q194" s="22" t="s">
        <v>388</v>
      </c>
      <c r="R194" s="22"/>
      <c r="S194" s="22"/>
      <c r="T194" s="146"/>
    </row>
    <row r="195" spans="1:20" hidden="1" x14ac:dyDescent="0.2">
      <c r="A195" s="23" t="s">
        <v>34</v>
      </c>
      <c r="B195" s="1"/>
      <c r="C195" s="45">
        <v>185</v>
      </c>
      <c r="D195" s="24" t="s">
        <v>34</v>
      </c>
      <c r="E195" s="15" t="s">
        <v>364</v>
      </c>
      <c r="F195" s="48">
        <v>43070</v>
      </c>
      <c r="G195" s="22"/>
      <c r="H195" s="22"/>
      <c r="I195" s="49">
        <v>0</v>
      </c>
      <c r="J195" s="49"/>
      <c r="K195" s="22"/>
      <c r="L195" s="22">
        <v>17800</v>
      </c>
      <c r="M195" s="18">
        <f>Table54[[#This Row],[Credit]]-Table54[[#This Row],[Debit]]</f>
        <v>-17800</v>
      </c>
      <c r="N195" s="18">
        <f>N194+Table54[[#This Row],[Difference]]</f>
        <v>394986.04455927049</v>
      </c>
      <c r="O195" s="22"/>
      <c r="P195" s="22" t="s">
        <v>29</v>
      </c>
      <c r="Q195" s="51" t="s">
        <v>86</v>
      </c>
      <c r="R195" s="18" t="s">
        <v>343</v>
      </c>
      <c r="S195" s="22" t="s">
        <v>375</v>
      </c>
      <c r="T195" s="146"/>
    </row>
    <row r="196" spans="1:20" hidden="1" x14ac:dyDescent="0.2">
      <c r="A196" s="23" t="s">
        <v>34</v>
      </c>
      <c r="B196" s="1"/>
      <c r="C196" s="45">
        <v>186</v>
      </c>
      <c r="D196" s="24" t="s">
        <v>34</v>
      </c>
      <c r="E196" s="10" t="s">
        <v>365</v>
      </c>
      <c r="F196" s="48">
        <v>43070</v>
      </c>
      <c r="G196" s="22"/>
      <c r="H196" s="22"/>
      <c r="I196" s="49">
        <v>0</v>
      </c>
      <c r="J196" s="49"/>
      <c r="K196" s="22"/>
      <c r="L196" s="22">
        <v>9800</v>
      </c>
      <c r="M196" s="18">
        <f>Table54[[#This Row],[Credit]]-Table54[[#This Row],[Debit]]</f>
        <v>-9800</v>
      </c>
      <c r="N196" s="18">
        <f>N195+Table54[[#This Row],[Difference]]</f>
        <v>385186.04455927049</v>
      </c>
      <c r="O196" s="22"/>
      <c r="P196" s="22" t="s">
        <v>29</v>
      </c>
      <c r="Q196" s="51" t="s">
        <v>86</v>
      </c>
      <c r="R196" s="18" t="s">
        <v>343</v>
      </c>
      <c r="S196" s="22" t="s">
        <v>375</v>
      </c>
      <c r="T196" s="146"/>
    </row>
    <row r="197" spans="1:20" hidden="1" x14ac:dyDescent="0.2">
      <c r="A197" s="23" t="s">
        <v>34</v>
      </c>
      <c r="B197" s="1"/>
      <c r="C197" s="45">
        <v>187</v>
      </c>
      <c r="D197" s="24" t="s">
        <v>34</v>
      </c>
      <c r="E197" s="10" t="s">
        <v>369</v>
      </c>
      <c r="F197" s="48">
        <v>43070</v>
      </c>
      <c r="G197" s="22"/>
      <c r="H197" s="22"/>
      <c r="I197" s="49">
        <v>0</v>
      </c>
      <c r="J197" s="49"/>
      <c r="K197" s="22"/>
      <c r="L197" s="22">
        <v>10000</v>
      </c>
      <c r="M197" s="18">
        <f>Table54[[#This Row],[Credit]]-Table54[[#This Row],[Debit]]</f>
        <v>-10000</v>
      </c>
      <c r="N197" s="18">
        <f>N196+Table54[[#This Row],[Difference]]</f>
        <v>375186.04455927049</v>
      </c>
      <c r="O197" s="22"/>
      <c r="P197" s="22" t="s">
        <v>29</v>
      </c>
      <c r="Q197" s="51" t="s">
        <v>86</v>
      </c>
      <c r="R197" s="18" t="s">
        <v>343</v>
      </c>
      <c r="S197" s="22" t="s">
        <v>375</v>
      </c>
      <c r="T197" s="146"/>
    </row>
    <row r="198" spans="1:20" hidden="1" x14ac:dyDescent="0.2">
      <c r="A198" s="23" t="s">
        <v>34</v>
      </c>
      <c r="B198" s="1"/>
      <c r="C198" s="45">
        <v>188</v>
      </c>
      <c r="D198" s="24" t="s">
        <v>34</v>
      </c>
      <c r="E198" s="10" t="s">
        <v>367</v>
      </c>
      <c r="F198" s="48">
        <v>43070</v>
      </c>
      <c r="G198" s="22"/>
      <c r="H198" s="22"/>
      <c r="I198" s="49">
        <v>0</v>
      </c>
      <c r="J198" s="49"/>
      <c r="K198" s="22"/>
      <c r="L198" s="22">
        <v>17800</v>
      </c>
      <c r="M198" s="18">
        <f>Table54[[#This Row],[Credit]]-Table54[[#This Row],[Debit]]</f>
        <v>-17800</v>
      </c>
      <c r="N198" s="18">
        <f>N197+Table54[[#This Row],[Difference]]</f>
        <v>357386.04455927049</v>
      </c>
      <c r="O198" s="22"/>
      <c r="P198" s="22" t="s">
        <v>29</v>
      </c>
      <c r="Q198" s="51" t="s">
        <v>86</v>
      </c>
      <c r="R198" s="18" t="s">
        <v>343</v>
      </c>
      <c r="S198" s="22" t="s">
        <v>375</v>
      </c>
      <c r="T198" s="146"/>
    </row>
    <row r="199" spans="1:20" hidden="1" x14ac:dyDescent="0.2">
      <c r="A199" s="23" t="s">
        <v>34</v>
      </c>
      <c r="B199" s="1"/>
      <c r="C199" s="45">
        <v>189</v>
      </c>
      <c r="D199" s="24" t="s">
        <v>34</v>
      </c>
      <c r="E199" s="10" t="s">
        <v>368</v>
      </c>
      <c r="F199" s="48">
        <v>43070</v>
      </c>
      <c r="G199" s="22"/>
      <c r="H199" s="22"/>
      <c r="I199" s="49">
        <v>0</v>
      </c>
      <c r="J199" s="49"/>
      <c r="K199" s="22"/>
      <c r="L199" s="22">
        <v>19800</v>
      </c>
      <c r="M199" s="18">
        <f>Table54[[#This Row],[Credit]]-Table54[[#This Row],[Debit]]</f>
        <v>-19800</v>
      </c>
      <c r="N199" s="18">
        <f>N198+Table54[[#This Row],[Difference]]</f>
        <v>337586.04455927049</v>
      </c>
      <c r="O199" s="22"/>
      <c r="P199" s="22" t="s">
        <v>29</v>
      </c>
      <c r="Q199" s="51" t="s">
        <v>86</v>
      </c>
      <c r="R199" s="18" t="s">
        <v>343</v>
      </c>
      <c r="S199" s="22" t="s">
        <v>375</v>
      </c>
      <c r="T199" s="146"/>
    </row>
    <row r="200" spans="1:20" hidden="1" x14ac:dyDescent="0.2">
      <c r="A200" s="23" t="s">
        <v>34</v>
      </c>
      <c r="B200" s="1"/>
      <c r="C200" s="45">
        <v>190</v>
      </c>
      <c r="D200" s="24" t="s">
        <v>34</v>
      </c>
      <c r="E200" s="10" t="s">
        <v>370</v>
      </c>
      <c r="F200" s="48">
        <v>43070</v>
      </c>
      <c r="G200" s="22"/>
      <c r="H200" s="22"/>
      <c r="I200" s="49">
        <v>0</v>
      </c>
      <c r="J200" s="49"/>
      <c r="K200" s="22"/>
      <c r="L200" s="22">
        <v>12300</v>
      </c>
      <c r="M200" s="18">
        <f>Table54[[#This Row],[Credit]]-Table54[[#This Row],[Debit]]</f>
        <v>-12300</v>
      </c>
      <c r="N200" s="18">
        <f>N199+Table54[[#This Row],[Difference]]</f>
        <v>325286.04455927049</v>
      </c>
      <c r="O200" s="22"/>
      <c r="P200" s="22" t="s">
        <v>29</v>
      </c>
      <c r="Q200" s="51" t="s">
        <v>86</v>
      </c>
      <c r="R200" s="18" t="s">
        <v>343</v>
      </c>
      <c r="S200" s="22" t="s">
        <v>375</v>
      </c>
      <c r="T200" s="146"/>
    </row>
    <row r="201" spans="1:20" hidden="1" x14ac:dyDescent="0.2">
      <c r="A201" s="23" t="s">
        <v>34</v>
      </c>
      <c r="B201" s="1"/>
      <c r="C201" s="45">
        <v>191</v>
      </c>
      <c r="D201" s="24" t="s">
        <v>34</v>
      </c>
      <c r="E201" s="10" t="s">
        <v>371</v>
      </c>
      <c r="F201" s="48">
        <v>43070</v>
      </c>
      <c r="G201" s="22"/>
      <c r="H201" s="22"/>
      <c r="I201" s="49">
        <v>0</v>
      </c>
      <c r="J201" s="49"/>
      <c r="K201" s="22"/>
      <c r="L201" s="22">
        <v>13800</v>
      </c>
      <c r="M201" s="18">
        <f>Table54[[#This Row],[Credit]]-Table54[[#This Row],[Debit]]</f>
        <v>-13800</v>
      </c>
      <c r="N201" s="18">
        <f>N200+Table54[[#This Row],[Difference]]</f>
        <v>311486.04455927049</v>
      </c>
      <c r="O201" s="22"/>
      <c r="P201" s="22" t="s">
        <v>29</v>
      </c>
      <c r="Q201" s="51" t="s">
        <v>86</v>
      </c>
      <c r="R201" s="18" t="s">
        <v>343</v>
      </c>
      <c r="S201" s="22" t="s">
        <v>375</v>
      </c>
      <c r="T201" s="146"/>
    </row>
    <row r="202" spans="1:20" hidden="1" x14ac:dyDescent="0.2">
      <c r="A202" s="23" t="s">
        <v>34</v>
      </c>
      <c r="B202" s="1"/>
      <c r="C202" s="45">
        <v>192</v>
      </c>
      <c r="D202" s="24" t="s">
        <v>34</v>
      </c>
      <c r="E202" s="10" t="s">
        <v>372</v>
      </c>
      <c r="F202" s="48">
        <v>43070</v>
      </c>
      <c r="G202" s="22"/>
      <c r="H202" s="22"/>
      <c r="I202" s="49">
        <v>0</v>
      </c>
      <c r="J202" s="49"/>
      <c r="K202" s="22"/>
      <c r="L202" s="22">
        <v>15000</v>
      </c>
      <c r="M202" s="18">
        <f>Table54[[#This Row],[Credit]]-Table54[[#This Row],[Debit]]</f>
        <v>-15000</v>
      </c>
      <c r="N202" s="18">
        <f>N201+Table54[[#This Row],[Difference]]</f>
        <v>296486.04455927049</v>
      </c>
      <c r="O202" s="22"/>
      <c r="P202" s="22" t="s">
        <v>29</v>
      </c>
      <c r="Q202" s="51" t="s">
        <v>86</v>
      </c>
      <c r="R202" s="18" t="s">
        <v>343</v>
      </c>
      <c r="S202" s="22" t="s">
        <v>375</v>
      </c>
      <c r="T202" s="146"/>
    </row>
    <row r="203" spans="1:20" hidden="1" x14ac:dyDescent="0.2">
      <c r="A203" s="23" t="s">
        <v>34</v>
      </c>
      <c r="B203" s="1"/>
      <c r="C203" s="45">
        <v>193</v>
      </c>
      <c r="D203" s="24" t="s">
        <v>34</v>
      </c>
      <c r="E203" s="10" t="s">
        <v>373</v>
      </c>
      <c r="F203" s="48">
        <v>43070</v>
      </c>
      <c r="G203" s="22"/>
      <c r="H203" s="22"/>
      <c r="I203" s="49">
        <v>0</v>
      </c>
      <c r="J203" s="49"/>
      <c r="K203" s="22"/>
      <c r="L203" s="22">
        <v>5667</v>
      </c>
      <c r="M203" s="18">
        <f>Table54[[#This Row],[Credit]]-Table54[[#This Row],[Debit]]</f>
        <v>-5667</v>
      </c>
      <c r="N203" s="18">
        <f>N202+Table54[[#This Row],[Difference]]</f>
        <v>290819.04455927049</v>
      </c>
      <c r="O203" s="22"/>
      <c r="P203" s="22" t="s">
        <v>29</v>
      </c>
      <c r="Q203" s="51" t="s">
        <v>86</v>
      </c>
      <c r="R203" s="18" t="s">
        <v>343</v>
      </c>
      <c r="S203" s="22" t="s">
        <v>375</v>
      </c>
      <c r="T203" s="146"/>
    </row>
    <row r="204" spans="1:20" hidden="1" x14ac:dyDescent="0.2">
      <c r="A204" s="23" t="s">
        <v>34</v>
      </c>
      <c r="B204" s="1"/>
      <c r="C204" s="45">
        <v>194</v>
      </c>
      <c r="D204" s="24" t="s">
        <v>34</v>
      </c>
      <c r="E204" s="10" t="s">
        <v>374</v>
      </c>
      <c r="F204" s="48">
        <v>43070</v>
      </c>
      <c r="G204" s="22"/>
      <c r="H204" s="22"/>
      <c r="I204" s="49">
        <v>0</v>
      </c>
      <c r="J204" s="49"/>
      <c r="K204" s="22"/>
      <c r="L204" s="22">
        <v>6400</v>
      </c>
      <c r="M204" s="18">
        <f>Table54[[#This Row],[Credit]]-Table54[[#This Row],[Debit]]</f>
        <v>-6400</v>
      </c>
      <c r="N204" s="18">
        <f>N203+Table54[[#This Row],[Difference]]</f>
        <v>284419.04455927049</v>
      </c>
      <c r="O204" s="22"/>
      <c r="P204" s="22" t="s">
        <v>29</v>
      </c>
      <c r="Q204" s="51" t="s">
        <v>86</v>
      </c>
      <c r="R204" s="18" t="s">
        <v>343</v>
      </c>
      <c r="S204" s="22" t="s">
        <v>375</v>
      </c>
      <c r="T204" s="146"/>
    </row>
    <row r="205" spans="1:20" hidden="1" x14ac:dyDescent="0.2">
      <c r="A205" s="23" t="s">
        <v>34</v>
      </c>
      <c r="B205" s="1"/>
      <c r="C205" s="45">
        <v>195</v>
      </c>
      <c r="D205" s="24" t="s">
        <v>34</v>
      </c>
      <c r="E205" s="10" t="s">
        <v>366</v>
      </c>
      <c r="F205" s="48">
        <v>43070</v>
      </c>
      <c r="G205" s="22"/>
      <c r="H205" s="22"/>
      <c r="I205" s="49">
        <v>0</v>
      </c>
      <c r="J205" s="49"/>
      <c r="K205" s="22"/>
      <c r="L205" s="22">
        <v>1200</v>
      </c>
      <c r="M205" s="18">
        <f>Table54[[#This Row],[Credit]]-Table54[[#This Row],[Debit]]</f>
        <v>-1200</v>
      </c>
      <c r="N205" s="18">
        <f>N204+Table54[[#This Row],[Difference]]</f>
        <v>283219.04455927049</v>
      </c>
      <c r="O205" s="22"/>
      <c r="P205" s="22" t="s">
        <v>29</v>
      </c>
      <c r="Q205" s="51" t="s">
        <v>86</v>
      </c>
      <c r="R205" s="18" t="s">
        <v>343</v>
      </c>
      <c r="S205" s="22" t="s">
        <v>375</v>
      </c>
      <c r="T205" s="146"/>
    </row>
    <row r="206" spans="1:20" hidden="1" x14ac:dyDescent="0.2">
      <c r="A206" s="23" t="s">
        <v>34</v>
      </c>
      <c r="B206" s="1"/>
      <c r="C206" s="45">
        <v>196</v>
      </c>
      <c r="D206" s="24" t="s">
        <v>34</v>
      </c>
      <c r="E206" s="148" t="s">
        <v>377</v>
      </c>
      <c r="F206" s="48">
        <v>43073</v>
      </c>
      <c r="G206" s="22"/>
      <c r="H206" s="22"/>
      <c r="I206" s="49">
        <v>0</v>
      </c>
      <c r="J206" s="49"/>
      <c r="K206" s="22"/>
      <c r="L206" s="22">
        <v>544</v>
      </c>
      <c r="M206" s="18">
        <f>Table54[[#This Row],[Credit]]-Table54[[#This Row],[Debit]]</f>
        <v>-544</v>
      </c>
      <c r="N206" s="18">
        <f>N205+Table54[[#This Row],[Difference]]</f>
        <v>282675.04455927049</v>
      </c>
      <c r="O206" s="22"/>
      <c r="P206" s="18" t="s">
        <v>29</v>
      </c>
      <c r="Q206" s="228" t="s">
        <v>112</v>
      </c>
      <c r="R206" s="22"/>
      <c r="S206" s="22"/>
      <c r="T206" s="146" t="s">
        <v>342</v>
      </c>
    </row>
    <row r="207" spans="1:20" hidden="1" x14ac:dyDescent="0.2">
      <c r="A207" s="23" t="s">
        <v>34</v>
      </c>
      <c r="B207" s="1"/>
      <c r="C207" s="45">
        <v>197</v>
      </c>
      <c r="D207" s="24" t="s">
        <v>34</v>
      </c>
      <c r="E207" s="148" t="s">
        <v>115</v>
      </c>
      <c r="F207" s="48">
        <v>43075</v>
      </c>
      <c r="G207" s="22"/>
      <c r="H207" s="22"/>
      <c r="I207" s="49">
        <v>0</v>
      </c>
      <c r="J207" s="49"/>
      <c r="K207" s="22"/>
      <c r="L207" s="22">
        <v>2549</v>
      </c>
      <c r="M207" s="18">
        <f>Table54[[#This Row],[Credit]]-Table54[[#This Row],[Debit]]</f>
        <v>-2549</v>
      </c>
      <c r="N207" s="18">
        <f>N206+Table54[[#This Row],[Difference]]</f>
        <v>280126.04455927049</v>
      </c>
      <c r="O207" s="22"/>
      <c r="P207" s="22" t="s">
        <v>29</v>
      </c>
      <c r="Q207" s="228" t="s">
        <v>30</v>
      </c>
      <c r="R207" s="22"/>
      <c r="S207" s="22"/>
      <c r="T207" s="146" t="s">
        <v>342</v>
      </c>
    </row>
    <row r="208" spans="1:20" hidden="1" x14ac:dyDescent="0.2">
      <c r="A208" s="23" t="s">
        <v>34</v>
      </c>
      <c r="B208" s="1"/>
      <c r="C208" s="45">
        <v>198</v>
      </c>
      <c r="D208" s="24" t="s">
        <v>34</v>
      </c>
      <c r="E208" s="15" t="s">
        <v>111</v>
      </c>
      <c r="F208" s="48">
        <v>43076</v>
      </c>
      <c r="G208" s="22"/>
      <c r="H208" s="22"/>
      <c r="I208" s="49">
        <v>0</v>
      </c>
      <c r="J208" s="49"/>
      <c r="K208" s="22"/>
      <c r="L208" s="22">
        <v>8217</v>
      </c>
      <c r="M208" s="18">
        <f>Table54[[#This Row],[Credit]]-Table54[[#This Row],[Debit]]</f>
        <v>-8217</v>
      </c>
      <c r="N208" s="18">
        <f>N207+Table54[[#This Row],[Difference]]</f>
        <v>271909.04455927049</v>
      </c>
      <c r="O208" s="22"/>
      <c r="P208" s="18" t="s">
        <v>29</v>
      </c>
      <c r="Q208" s="228" t="s">
        <v>112</v>
      </c>
      <c r="R208" s="22"/>
      <c r="S208" s="22"/>
      <c r="T208" s="146" t="s">
        <v>342</v>
      </c>
    </row>
    <row r="209" spans="1:20" hidden="1" x14ac:dyDescent="0.2">
      <c r="A209" s="23" t="s">
        <v>34</v>
      </c>
      <c r="B209" s="1"/>
      <c r="C209" s="45">
        <v>199</v>
      </c>
      <c r="D209" s="24" t="s">
        <v>34</v>
      </c>
      <c r="E209" s="148" t="s">
        <v>378</v>
      </c>
      <c r="F209" s="48">
        <v>43080</v>
      </c>
      <c r="G209" s="22"/>
      <c r="H209" s="22"/>
      <c r="I209" s="49">
        <v>0</v>
      </c>
      <c r="J209" s="49"/>
      <c r="K209" s="22"/>
      <c r="L209" s="22">
        <v>348</v>
      </c>
      <c r="M209" s="18">
        <f>Table54[[#This Row],[Credit]]-Table54[[#This Row],[Debit]]</f>
        <v>-348</v>
      </c>
      <c r="N209" s="18">
        <f>N208+Table54[[#This Row],[Difference]]</f>
        <v>271561.04455927049</v>
      </c>
      <c r="O209" s="22"/>
      <c r="P209" s="18" t="s">
        <v>29</v>
      </c>
      <c r="Q209" s="50" t="s">
        <v>112</v>
      </c>
      <c r="R209" s="22" t="s">
        <v>343</v>
      </c>
      <c r="S209" s="22"/>
      <c r="T209" s="146" t="s">
        <v>342</v>
      </c>
    </row>
    <row r="210" spans="1:20" hidden="1" x14ac:dyDescent="0.2">
      <c r="A210" s="23" t="s">
        <v>34</v>
      </c>
      <c r="B210" s="1"/>
      <c r="C210" s="45">
        <v>200</v>
      </c>
      <c r="D210" s="24" t="s">
        <v>34</v>
      </c>
      <c r="E210" s="53" t="s">
        <v>351</v>
      </c>
      <c r="F210" s="48">
        <v>43080</v>
      </c>
      <c r="G210" s="22"/>
      <c r="H210" s="22"/>
      <c r="I210" s="49">
        <v>0</v>
      </c>
      <c r="J210" s="49"/>
      <c r="K210" s="22"/>
      <c r="L210" s="22">
        <v>2181</v>
      </c>
      <c r="M210" s="18">
        <f>Table54[[#This Row],[Credit]]-Table54[[#This Row],[Debit]]</f>
        <v>-2181</v>
      </c>
      <c r="N210" s="18">
        <f>N209+Table54[[#This Row],[Difference]]</f>
        <v>269380.04455927049</v>
      </c>
      <c r="O210" s="22"/>
      <c r="P210" s="18" t="s">
        <v>29</v>
      </c>
      <c r="Q210" s="50" t="s">
        <v>112</v>
      </c>
      <c r="R210" s="22" t="s">
        <v>343</v>
      </c>
      <c r="S210" s="22"/>
      <c r="T210" s="146" t="s">
        <v>342</v>
      </c>
    </row>
    <row r="211" spans="1:20" hidden="1" x14ac:dyDescent="0.2">
      <c r="A211" s="23" t="s">
        <v>34</v>
      </c>
      <c r="B211" s="1"/>
      <c r="C211" s="45">
        <v>201</v>
      </c>
      <c r="D211" s="24" t="s">
        <v>34</v>
      </c>
      <c r="E211" s="53" t="s">
        <v>387</v>
      </c>
      <c r="F211" s="48">
        <v>43080</v>
      </c>
      <c r="G211" s="22"/>
      <c r="H211" s="22"/>
      <c r="I211" s="49">
        <v>0</v>
      </c>
      <c r="J211" s="49"/>
      <c r="K211" s="22"/>
      <c r="L211" s="22">
        <v>9823</v>
      </c>
      <c r="M211" s="18">
        <f>Table54[[#This Row],[Credit]]-Table54[[#This Row],[Debit]]</f>
        <v>-9823</v>
      </c>
      <c r="N211" s="18">
        <f>N210+Table54[[#This Row],[Difference]]</f>
        <v>259557.04455927049</v>
      </c>
      <c r="O211" s="22"/>
      <c r="P211" s="18" t="s">
        <v>403</v>
      </c>
      <c r="Q211" s="50" t="s">
        <v>388</v>
      </c>
      <c r="R211" s="22" t="s">
        <v>343</v>
      </c>
      <c r="S211" s="22"/>
      <c r="T211" s="146" t="s">
        <v>335</v>
      </c>
    </row>
    <row r="212" spans="1:20" hidden="1" x14ac:dyDescent="0.2">
      <c r="A212" s="23" t="s">
        <v>34</v>
      </c>
      <c r="B212" s="1"/>
      <c r="C212" s="45">
        <v>202</v>
      </c>
      <c r="D212" s="24" t="s">
        <v>34</v>
      </c>
      <c r="E212" s="53" t="s">
        <v>389</v>
      </c>
      <c r="F212" s="48">
        <v>43080</v>
      </c>
      <c r="G212" s="22">
        <v>200</v>
      </c>
      <c r="H212" s="22"/>
      <c r="I212" s="49">
        <f>Table54[[#This Row],[Debit]]/Table54[[#This Row],[USD]]</f>
        <v>67.89</v>
      </c>
      <c r="J212" s="49"/>
      <c r="K212" s="22"/>
      <c r="L212" s="22">
        <v>13578</v>
      </c>
      <c r="M212" s="18">
        <f>Table54[[#This Row],[Credit]]-Table54[[#This Row],[Debit]]</f>
        <v>-13578</v>
      </c>
      <c r="N212" s="18">
        <f>N211+Table54[[#This Row],[Difference]]</f>
        <v>245979.04455927049</v>
      </c>
      <c r="O212" s="22"/>
      <c r="P212" s="18" t="s">
        <v>386</v>
      </c>
      <c r="Q212" s="50" t="s">
        <v>388</v>
      </c>
      <c r="R212" s="18" t="s">
        <v>398</v>
      </c>
      <c r="S212" s="22"/>
      <c r="T212" s="146" t="s">
        <v>335</v>
      </c>
    </row>
    <row r="213" spans="1:20" hidden="1" x14ac:dyDescent="0.2">
      <c r="A213" s="23" t="s">
        <v>34</v>
      </c>
      <c r="B213" s="1"/>
      <c r="C213" s="45">
        <v>203</v>
      </c>
      <c r="D213" s="24" t="s">
        <v>34</v>
      </c>
      <c r="E213" s="148" t="s">
        <v>102</v>
      </c>
      <c r="F213" s="48">
        <v>43081</v>
      </c>
      <c r="G213" s="22"/>
      <c r="H213" s="22"/>
      <c r="I213" s="49">
        <v>0</v>
      </c>
      <c r="J213" s="49"/>
      <c r="K213" s="22"/>
      <c r="L213" s="22">
        <v>38670</v>
      </c>
      <c r="M213" s="18">
        <f>Table54[[#This Row],[Credit]]-Table54[[#This Row],[Debit]]</f>
        <v>-38670</v>
      </c>
      <c r="N213" s="18">
        <f>N212+Table54[[#This Row],[Difference]]</f>
        <v>207309.04455927049</v>
      </c>
      <c r="O213" s="22"/>
      <c r="P213" s="18" t="s">
        <v>29</v>
      </c>
      <c r="Q213" s="50" t="s">
        <v>103</v>
      </c>
      <c r="R213" s="22" t="s">
        <v>343</v>
      </c>
      <c r="S213" s="22"/>
      <c r="T213" s="146" t="s">
        <v>335</v>
      </c>
    </row>
    <row r="214" spans="1:20" hidden="1" x14ac:dyDescent="0.2">
      <c r="A214" s="23" t="s">
        <v>34</v>
      </c>
      <c r="C214" s="45">
        <v>204</v>
      </c>
      <c r="D214" s="24" t="s">
        <v>34</v>
      </c>
      <c r="E214" s="148" t="s">
        <v>390</v>
      </c>
      <c r="F214" s="48">
        <v>43082</v>
      </c>
      <c r="G214" s="22">
        <v>200</v>
      </c>
      <c r="H214" s="22"/>
      <c r="I214" s="49">
        <f>Table54[[#This Row],[Debit]]/Table54[[#This Row],[USD]]</f>
        <v>67.012799999999999</v>
      </c>
      <c r="J214" s="49"/>
      <c r="K214" s="22"/>
      <c r="L214" s="22">
        <v>13402.56</v>
      </c>
      <c r="M214" s="18">
        <f>Table54[[#This Row],[Credit]]-Table54[[#This Row],[Debit]]</f>
        <v>-13402.56</v>
      </c>
      <c r="N214" s="18">
        <f>N213+Table54[[#This Row],[Difference]]</f>
        <v>193906.4845592705</v>
      </c>
      <c r="O214" s="22"/>
      <c r="P214" s="18" t="s">
        <v>386</v>
      </c>
      <c r="Q214" s="50" t="s">
        <v>388</v>
      </c>
      <c r="R214" s="22" t="s">
        <v>343</v>
      </c>
      <c r="S214" s="22"/>
      <c r="T214" s="146" t="s">
        <v>335</v>
      </c>
    </row>
    <row r="215" spans="1:20" hidden="1" x14ac:dyDescent="0.2">
      <c r="A215" s="23" t="s">
        <v>34</v>
      </c>
      <c r="C215" s="45">
        <v>205</v>
      </c>
      <c r="D215" s="24" t="s">
        <v>34</v>
      </c>
      <c r="E215" s="15" t="s">
        <v>391</v>
      </c>
      <c r="F215" s="48">
        <v>43083</v>
      </c>
      <c r="G215" s="22"/>
      <c r="H215" s="22"/>
      <c r="I215" s="49">
        <v>0</v>
      </c>
      <c r="J215" s="49"/>
      <c r="K215" s="22"/>
      <c r="L215" s="22">
        <v>2000</v>
      </c>
      <c r="M215" s="18">
        <f>Table54[[#This Row],[Credit]]-Table54[[#This Row],[Debit]]</f>
        <v>-2000</v>
      </c>
      <c r="N215" s="18">
        <f>N214+Table54[[#This Row],[Difference]]</f>
        <v>191906.4845592705</v>
      </c>
      <c r="O215" s="22"/>
      <c r="P215" s="22" t="s">
        <v>29</v>
      </c>
      <c r="Q215" s="22" t="s">
        <v>30</v>
      </c>
      <c r="R215" s="22"/>
      <c r="S215" s="22"/>
      <c r="T215" s="29" t="s">
        <v>335</v>
      </c>
    </row>
    <row r="216" spans="1:20" hidden="1" x14ac:dyDescent="0.2">
      <c r="A216" s="23" t="s">
        <v>34</v>
      </c>
      <c r="C216" s="45">
        <v>206</v>
      </c>
      <c r="D216" s="24" t="s">
        <v>34</v>
      </c>
      <c r="E216" s="148" t="s">
        <v>318</v>
      </c>
      <c r="F216" s="48">
        <v>43084</v>
      </c>
      <c r="G216" s="22"/>
      <c r="H216" s="22"/>
      <c r="I216" s="49">
        <v>0</v>
      </c>
      <c r="J216" s="49"/>
      <c r="K216" s="22"/>
      <c r="L216" s="22">
        <v>2</v>
      </c>
      <c r="M216" s="18">
        <f>Table54[[#This Row],[Credit]]-Table54[[#This Row],[Debit]]</f>
        <v>-2</v>
      </c>
      <c r="N216" s="18">
        <f>N215+Table54[[#This Row],[Difference]]</f>
        <v>191904.4845592705</v>
      </c>
      <c r="O216" s="22"/>
      <c r="P216" s="18" t="s">
        <v>386</v>
      </c>
      <c r="Q216" s="22" t="s">
        <v>388</v>
      </c>
      <c r="R216" s="22" t="s">
        <v>343</v>
      </c>
      <c r="S216" s="22"/>
      <c r="T216" s="29"/>
    </row>
    <row r="217" spans="1:20" hidden="1" x14ac:dyDescent="0.2">
      <c r="A217" s="23" t="s">
        <v>34</v>
      </c>
      <c r="C217" s="45">
        <v>207</v>
      </c>
      <c r="D217" s="24" t="s">
        <v>34</v>
      </c>
      <c r="E217" s="148" t="s">
        <v>401</v>
      </c>
      <c r="F217" s="48">
        <v>43085</v>
      </c>
      <c r="G217" s="22"/>
      <c r="H217" s="22"/>
      <c r="I217" s="49">
        <v>0</v>
      </c>
      <c r="J217" s="49"/>
      <c r="K217" s="22"/>
      <c r="L217" s="22">
        <v>1513</v>
      </c>
      <c r="M217" s="18">
        <f>Table54[[#This Row],[Credit]]-Table54[[#This Row],[Debit]]</f>
        <v>-1513</v>
      </c>
      <c r="N217" s="18">
        <f>N216+Table54[[#This Row],[Difference]]</f>
        <v>190391.4845592705</v>
      </c>
      <c r="O217" s="22"/>
      <c r="P217" s="22" t="s">
        <v>29</v>
      </c>
      <c r="Q217" s="22" t="s">
        <v>30</v>
      </c>
      <c r="R217" s="22" t="s">
        <v>343</v>
      </c>
      <c r="S217" s="22"/>
      <c r="T217" s="146" t="s">
        <v>342</v>
      </c>
    </row>
    <row r="218" spans="1:20" hidden="1" x14ac:dyDescent="0.2">
      <c r="A218" s="23" t="s">
        <v>34</v>
      </c>
      <c r="C218" s="45">
        <v>208</v>
      </c>
      <c r="D218" s="24" t="s">
        <v>34</v>
      </c>
      <c r="E218" s="148" t="s">
        <v>399</v>
      </c>
      <c r="F218" s="48">
        <v>43087</v>
      </c>
      <c r="G218" s="22"/>
      <c r="H218" s="22"/>
      <c r="I218" s="49">
        <v>0</v>
      </c>
      <c r="J218" s="49"/>
      <c r="K218" s="22"/>
      <c r="L218" s="22">
        <v>3147</v>
      </c>
      <c r="M218" s="18">
        <f>Table54[[#This Row],[Credit]]-Table54[[#This Row],[Debit]]</f>
        <v>-3147</v>
      </c>
      <c r="N218" s="18">
        <f>N217+Table54[[#This Row],[Difference]]</f>
        <v>187244.4845592705</v>
      </c>
      <c r="O218" s="22"/>
      <c r="P218" s="22" t="s">
        <v>29</v>
      </c>
      <c r="Q218" s="41" t="s">
        <v>44</v>
      </c>
      <c r="R218" s="18" t="s">
        <v>343</v>
      </c>
      <c r="S218" s="22"/>
      <c r="T218" s="29" t="s">
        <v>335</v>
      </c>
    </row>
    <row r="219" spans="1:20" hidden="1" x14ac:dyDescent="0.2">
      <c r="A219" s="23" t="s">
        <v>34</v>
      </c>
      <c r="C219" s="45">
        <v>209</v>
      </c>
      <c r="D219" s="24" t="s">
        <v>34</v>
      </c>
      <c r="E219" s="148" t="s">
        <v>390</v>
      </c>
      <c r="F219" s="48">
        <v>43087</v>
      </c>
      <c r="G219" s="22"/>
      <c r="H219" s="22"/>
      <c r="I219" s="49">
        <v>0</v>
      </c>
      <c r="J219" s="49"/>
      <c r="K219" s="22"/>
      <c r="L219" s="22">
        <v>21.64</v>
      </c>
      <c r="M219" s="18">
        <f>Table54[[#This Row],[Credit]]-Table54[[#This Row],[Debit]]</f>
        <v>-21.64</v>
      </c>
      <c r="N219" s="18">
        <f>N218+Table54[[#This Row],[Difference]]</f>
        <v>187222.84455927048</v>
      </c>
      <c r="O219" s="22"/>
      <c r="P219" s="22" t="s">
        <v>386</v>
      </c>
      <c r="Q219" s="50" t="s">
        <v>388</v>
      </c>
      <c r="R219" s="18" t="s">
        <v>343</v>
      </c>
      <c r="S219" s="22"/>
      <c r="T219" s="146"/>
    </row>
    <row r="220" spans="1:20" hidden="1" x14ac:dyDescent="0.2">
      <c r="A220" s="23" t="s">
        <v>34</v>
      </c>
      <c r="C220" s="45">
        <v>210</v>
      </c>
      <c r="D220" s="24" t="s">
        <v>34</v>
      </c>
      <c r="E220" s="148" t="s">
        <v>402</v>
      </c>
      <c r="F220" s="48">
        <v>43089</v>
      </c>
      <c r="G220" s="22"/>
      <c r="H220" s="22"/>
      <c r="I220" s="49">
        <v>0</v>
      </c>
      <c r="J220" s="49"/>
      <c r="K220" s="22"/>
      <c r="L220" s="22">
        <v>66.88</v>
      </c>
      <c r="M220" s="18">
        <f>Table54[[#This Row],[Credit]]-Table54[[#This Row],[Debit]]</f>
        <v>-66.88</v>
      </c>
      <c r="N220" s="18">
        <f>N219+Table54[[#This Row],[Difference]]</f>
        <v>187155.96455927048</v>
      </c>
      <c r="O220" s="22"/>
      <c r="P220" s="22" t="s">
        <v>29</v>
      </c>
      <c r="Q220" s="50" t="s">
        <v>79</v>
      </c>
      <c r="R220" s="18" t="s">
        <v>343</v>
      </c>
      <c r="S220" s="22"/>
      <c r="T220" s="146"/>
    </row>
    <row r="221" spans="1:20" hidden="1" x14ac:dyDescent="0.2">
      <c r="A221" s="23" t="s">
        <v>34</v>
      </c>
      <c r="C221" s="45">
        <v>211</v>
      </c>
      <c r="D221" s="24" t="s">
        <v>34</v>
      </c>
      <c r="E221" s="148" t="s">
        <v>407</v>
      </c>
      <c r="F221" s="48">
        <v>43090</v>
      </c>
      <c r="G221" s="22"/>
      <c r="H221" s="22"/>
      <c r="I221" s="49">
        <v>0</v>
      </c>
      <c r="J221" s="49"/>
      <c r="K221" s="22"/>
      <c r="L221" s="22">
        <v>733.35</v>
      </c>
      <c r="M221" s="18">
        <f>Table54[[#This Row],[Credit]]-Table54[[#This Row],[Debit]]</f>
        <v>-733.35</v>
      </c>
      <c r="N221" s="18">
        <f>N220+Table54[[#This Row],[Difference]]</f>
        <v>186422.61455927047</v>
      </c>
      <c r="O221" s="22"/>
      <c r="P221" s="22" t="s">
        <v>404</v>
      </c>
      <c r="Q221" s="50" t="s">
        <v>405</v>
      </c>
      <c r="R221" s="22" t="s">
        <v>343</v>
      </c>
      <c r="S221" s="22"/>
      <c r="T221" s="146"/>
    </row>
    <row r="222" spans="1:20" hidden="1" x14ac:dyDescent="0.2">
      <c r="A222" s="23" t="s">
        <v>34</v>
      </c>
      <c r="C222" s="45">
        <v>212</v>
      </c>
      <c r="D222" s="24" t="s">
        <v>34</v>
      </c>
      <c r="E222" s="148" t="s">
        <v>408</v>
      </c>
      <c r="F222" s="48">
        <v>43090</v>
      </c>
      <c r="G222" s="22"/>
      <c r="H222" s="22"/>
      <c r="I222" s="49">
        <v>0</v>
      </c>
      <c r="J222" s="49"/>
      <c r="K222" s="22"/>
      <c r="L222" s="22">
        <v>360</v>
      </c>
      <c r="M222" s="18">
        <f>Table54[[#This Row],[Credit]]-Table54[[#This Row],[Debit]]</f>
        <v>-360</v>
      </c>
      <c r="N222" s="18">
        <f>N221+Table54[[#This Row],[Difference]]</f>
        <v>186062.61455927047</v>
      </c>
      <c r="O222" s="22"/>
      <c r="P222" s="22" t="s">
        <v>29</v>
      </c>
      <c r="Q222" s="50" t="s">
        <v>112</v>
      </c>
      <c r="R222" s="22" t="s">
        <v>343</v>
      </c>
      <c r="S222" s="22"/>
      <c r="T222" s="146"/>
    </row>
    <row r="223" spans="1:20" hidden="1" x14ac:dyDescent="0.2">
      <c r="A223" s="23" t="s">
        <v>34</v>
      </c>
      <c r="C223" s="45">
        <v>213</v>
      </c>
      <c r="D223" s="24" t="s">
        <v>34</v>
      </c>
      <c r="E223" s="148" t="s">
        <v>318</v>
      </c>
      <c r="F223" s="48">
        <v>43090</v>
      </c>
      <c r="G223" s="22"/>
      <c r="H223" s="22"/>
      <c r="I223" s="49">
        <v>0</v>
      </c>
      <c r="J223" s="49"/>
      <c r="K223" s="22"/>
      <c r="L223" s="22">
        <v>25000</v>
      </c>
      <c r="M223" s="18">
        <f>Table54[[#This Row],[Credit]]-Table54[[#This Row],[Debit]]</f>
        <v>-25000</v>
      </c>
      <c r="N223" s="18">
        <f>N222+Table54[[#This Row],[Difference]]</f>
        <v>161062.61455927047</v>
      </c>
      <c r="O223" s="22"/>
      <c r="P223" s="22" t="s">
        <v>386</v>
      </c>
      <c r="Q223" s="50" t="s">
        <v>388</v>
      </c>
      <c r="R223" s="22" t="s">
        <v>343</v>
      </c>
      <c r="S223" s="22"/>
      <c r="T223" s="146"/>
    </row>
    <row r="224" spans="1:20" x14ac:dyDescent="0.2">
      <c r="A224" s="23" t="s">
        <v>34</v>
      </c>
      <c r="C224" s="54">
        <v>214</v>
      </c>
      <c r="D224" s="24" t="s">
        <v>34</v>
      </c>
      <c r="E224" s="148" t="s">
        <v>410</v>
      </c>
      <c r="F224" s="48">
        <v>43091</v>
      </c>
      <c r="G224" s="22"/>
      <c r="H224" s="22"/>
      <c r="I224" s="49">
        <v>0</v>
      </c>
      <c r="J224" s="49"/>
      <c r="K224" s="152">
        <v>5000</v>
      </c>
      <c r="L224" s="22"/>
      <c r="M224" s="223">
        <f>Table54[[#This Row],[Credit]]-Table54[[#This Row],[Debit]]</f>
        <v>5000</v>
      </c>
      <c r="N224" s="18">
        <f>N223+Table54[[#This Row],[Difference]]</f>
        <v>166062.61455927047</v>
      </c>
      <c r="O224" s="22"/>
      <c r="P224" s="22" t="s">
        <v>411</v>
      </c>
      <c r="Q224" s="50" t="s">
        <v>38</v>
      </c>
      <c r="R224" s="22"/>
      <c r="S224" s="22"/>
      <c r="T224" s="146"/>
    </row>
    <row r="225" spans="1:21" hidden="1" x14ac:dyDescent="0.2">
      <c r="A225" s="14" t="s">
        <v>22</v>
      </c>
      <c r="B225" s="1"/>
      <c r="C225" s="239">
        <v>215</v>
      </c>
      <c r="D225" s="16" t="s">
        <v>23</v>
      </c>
      <c r="E225" s="53" t="s">
        <v>117</v>
      </c>
      <c r="F225" s="48">
        <v>43091</v>
      </c>
      <c r="G225" s="22"/>
      <c r="H225" s="22"/>
      <c r="I225" s="49">
        <v>0</v>
      </c>
      <c r="J225" s="49"/>
      <c r="K225" s="146"/>
      <c r="L225" s="22">
        <v>29.5</v>
      </c>
      <c r="M225" s="18">
        <f>Table54[[#This Row],[Credit]]-Table54[[#This Row],[Debit]]</f>
        <v>-29.5</v>
      </c>
      <c r="N225" s="18">
        <f>N224+Table54[[#This Row],[Difference]]</f>
        <v>166033.11455927047</v>
      </c>
      <c r="O225" s="22"/>
      <c r="P225" s="22" t="s">
        <v>81</v>
      </c>
      <c r="Q225" s="51" t="s">
        <v>82</v>
      </c>
      <c r="R225" s="22" t="s">
        <v>343</v>
      </c>
      <c r="S225" s="22"/>
      <c r="T225" s="193"/>
      <c r="U225" s="2"/>
    </row>
    <row r="226" spans="1:21" hidden="1" x14ac:dyDescent="0.2">
      <c r="A226" s="23" t="s">
        <v>34</v>
      </c>
      <c r="B226" s="1"/>
      <c r="C226" s="45">
        <v>216</v>
      </c>
      <c r="D226" s="24" t="s">
        <v>34</v>
      </c>
      <c r="E226" s="53" t="s">
        <v>117</v>
      </c>
      <c r="F226" s="48">
        <v>43091</v>
      </c>
      <c r="G226" s="22"/>
      <c r="H226" s="22"/>
      <c r="I226" s="49">
        <v>0</v>
      </c>
      <c r="J226" s="49"/>
      <c r="K226" s="146"/>
      <c r="L226" s="22">
        <v>29.5</v>
      </c>
      <c r="M226" s="18">
        <f>Table54[[#This Row],[Credit]]-Table54[[#This Row],[Debit]]</f>
        <v>-29.5</v>
      </c>
      <c r="N226" s="18">
        <f>N225+Table54[[#This Row],[Difference]]</f>
        <v>166003.61455927047</v>
      </c>
      <c r="O226" s="22"/>
      <c r="P226" s="22" t="s">
        <v>81</v>
      </c>
      <c r="Q226" s="51" t="s">
        <v>82</v>
      </c>
      <c r="R226" s="22" t="s">
        <v>343</v>
      </c>
      <c r="S226" s="22"/>
      <c r="T226" s="193"/>
    </row>
    <row r="227" spans="1:21" hidden="1" x14ac:dyDescent="0.2">
      <c r="A227" s="23" t="s">
        <v>34</v>
      </c>
      <c r="C227" s="45">
        <v>217</v>
      </c>
      <c r="D227" s="24" t="s">
        <v>34</v>
      </c>
      <c r="E227" s="148" t="s">
        <v>409</v>
      </c>
      <c r="F227" s="48">
        <v>43095</v>
      </c>
      <c r="G227" s="22"/>
      <c r="H227" s="22"/>
      <c r="I227" s="49">
        <v>0</v>
      </c>
      <c r="J227" s="49"/>
      <c r="K227" s="22"/>
      <c r="L227" s="22">
        <v>1517</v>
      </c>
      <c r="M227" s="18">
        <f>Table54[[#This Row],[Credit]]-Table54[[#This Row],[Debit]]</f>
        <v>-1517</v>
      </c>
      <c r="N227" s="18">
        <f>N226+Table54[[#This Row],[Difference]]</f>
        <v>164486.61455927047</v>
      </c>
      <c r="O227" s="22"/>
      <c r="P227" s="22" t="s">
        <v>29</v>
      </c>
      <c r="Q227" s="22" t="s">
        <v>30</v>
      </c>
      <c r="R227" s="22" t="s">
        <v>343</v>
      </c>
      <c r="S227" s="22"/>
      <c r="T227" s="146" t="s">
        <v>342</v>
      </c>
    </row>
    <row r="228" spans="1:21" hidden="1" x14ac:dyDescent="0.2">
      <c r="A228" s="23" t="s">
        <v>34</v>
      </c>
      <c r="C228" s="45">
        <v>218</v>
      </c>
      <c r="D228" s="24" t="s">
        <v>34</v>
      </c>
      <c r="E228" s="148" t="s">
        <v>101</v>
      </c>
      <c r="F228" s="48">
        <v>43095</v>
      </c>
      <c r="G228" s="22"/>
      <c r="H228" s="22"/>
      <c r="I228" s="49">
        <v>0</v>
      </c>
      <c r="J228" s="49"/>
      <c r="K228" s="22"/>
      <c r="L228" s="22">
        <v>16950</v>
      </c>
      <c r="M228" s="223">
        <f>Table54[[#This Row],[Credit]]-Table54[[#This Row],[Debit]]</f>
        <v>-16950</v>
      </c>
      <c r="N228" s="18">
        <f>N227+Table54[[#This Row],[Difference]]</f>
        <v>147536.61455927047</v>
      </c>
      <c r="O228" s="22"/>
      <c r="P228" s="22" t="s">
        <v>29</v>
      </c>
      <c r="Q228" s="50" t="s">
        <v>299</v>
      </c>
      <c r="R228" s="22" t="s">
        <v>343</v>
      </c>
      <c r="S228" s="22"/>
      <c r="T228" s="146"/>
    </row>
    <row r="229" spans="1:21" hidden="1" x14ac:dyDescent="0.2">
      <c r="A229" s="23" t="s">
        <v>34</v>
      </c>
      <c r="C229" s="45">
        <v>219</v>
      </c>
      <c r="D229" s="24" t="s">
        <v>34</v>
      </c>
      <c r="E229" s="148" t="s">
        <v>415</v>
      </c>
      <c r="F229" s="48">
        <v>43095</v>
      </c>
      <c r="G229" s="22"/>
      <c r="H229" s="22"/>
      <c r="I229" s="49">
        <v>0</v>
      </c>
      <c r="J229" s="49"/>
      <c r="K229" s="22"/>
      <c r="L229" s="22">
        <v>280</v>
      </c>
      <c r="M229" s="223">
        <f>Table54[[#This Row],[Credit]]-Table54[[#This Row],[Debit]]</f>
        <v>-280</v>
      </c>
      <c r="N229" s="18">
        <f>N228+Table54[[#This Row],[Difference]]</f>
        <v>147256.61455927047</v>
      </c>
      <c r="O229" s="22"/>
      <c r="P229" s="22" t="s">
        <v>29</v>
      </c>
      <c r="Q229" s="50" t="s">
        <v>112</v>
      </c>
      <c r="R229" s="22" t="s">
        <v>343</v>
      </c>
      <c r="S229" s="22"/>
      <c r="T229" s="146"/>
    </row>
    <row r="230" spans="1:21" hidden="1" x14ac:dyDescent="0.2">
      <c r="A230" s="23" t="s">
        <v>34</v>
      </c>
      <c r="C230" s="45">
        <v>220</v>
      </c>
      <c r="D230" s="24" t="s">
        <v>34</v>
      </c>
      <c r="E230" s="53" t="s">
        <v>414</v>
      </c>
      <c r="F230" s="48">
        <v>43096</v>
      </c>
      <c r="G230" s="22"/>
      <c r="H230" s="22"/>
      <c r="I230" s="49">
        <v>0</v>
      </c>
      <c r="J230" s="49"/>
      <c r="K230" s="22"/>
      <c r="L230" s="22">
        <v>749</v>
      </c>
      <c r="M230" s="223">
        <f>Table54[[#This Row],[Credit]]-Table54[[#This Row],[Debit]]</f>
        <v>-749</v>
      </c>
      <c r="N230" s="18">
        <f>N229+Table54[[#This Row],[Difference]]</f>
        <v>146507.61455927047</v>
      </c>
      <c r="O230" s="22"/>
      <c r="P230" s="22" t="s">
        <v>29</v>
      </c>
      <c r="Q230" s="51" t="s">
        <v>30</v>
      </c>
      <c r="R230" s="22" t="s">
        <v>343</v>
      </c>
      <c r="S230" s="22"/>
      <c r="T230" s="146"/>
    </row>
    <row r="231" spans="1:21" x14ac:dyDescent="0.2">
      <c r="C231" s="237"/>
      <c r="D231" s="237"/>
      <c r="E231" s="148"/>
      <c r="F231" s="48"/>
      <c r="G231" s="55">
        <f>SUBTOTAL(109,Table54[USD])</f>
        <v>0</v>
      </c>
      <c r="H231" s="55">
        <f>SUBTOTAL(109,Table54[Euro])</f>
        <v>0</v>
      </c>
      <c r="I231" s="55"/>
      <c r="J231" s="55">
        <f>SUBTOTAL(109,Table54[Transfer Crg
(Euro)])</f>
        <v>0</v>
      </c>
      <c r="K231" s="55">
        <f>SUBTOTAL(109,K6:K161)</f>
        <v>0</v>
      </c>
      <c r="L231" s="55">
        <f>SUBTOTAL(109,Table54[Debit])</f>
        <v>0</v>
      </c>
      <c r="M231" s="238">
        <f>SUBTOTAL(109,Table54[Difference])</f>
        <v>5000</v>
      </c>
      <c r="N231" s="55"/>
      <c r="O231" s="55"/>
      <c r="P231" s="55"/>
      <c r="Q231" s="53"/>
      <c r="R231" s="56"/>
      <c r="S231" s="56"/>
      <c r="T231" s="56"/>
    </row>
    <row r="232" spans="1:21" x14ac:dyDescent="0.2">
      <c r="C232" s="1"/>
      <c r="L232" s="57"/>
      <c r="M232" s="84">
        <f>Table54[[#Totals],[Difference]]-'Expense Sheet ADSL &amp; CBIB'!I234</f>
        <v>-140906.7745592705</v>
      </c>
      <c r="T232" s="1"/>
    </row>
    <row r="233" spans="1:21" x14ac:dyDescent="0.2">
      <c r="F233" s="58" t="s">
        <v>161</v>
      </c>
      <c r="G233" s="59" t="s">
        <v>34</v>
      </c>
      <c r="H233" s="59" t="s">
        <v>23</v>
      </c>
      <c r="I233" s="60" t="s">
        <v>62</v>
      </c>
      <c r="T233" s="1"/>
    </row>
    <row r="234" spans="1:21" x14ac:dyDescent="0.2">
      <c r="F234" s="63" t="s">
        <v>163</v>
      </c>
      <c r="G234" s="18">
        <f>ADSL!L216</f>
        <v>131891.26999999999</v>
      </c>
      <c r="H234" s="18">
        <f>Table547[[#Totals],[Difference]]</f>
        <v>14015.504559270517</v>
      </c>
      <c r="I234" s="41">
        <f>SUM(G234:H234)</f>
        <v>145906.7745592705</v>
      </c>
      <c r="L234" s="84"/>
      <c r="T234" s="1"/>
    </row>
    <row r="235" spans="1:21" x14ac:dyDescent="0.2">
      <c r="F235" s="63" t="s">
        <v>166</v>
      </c>
      <c r="G235" s="18">
        <f>Table545[[#Totals],[Difference]]</f>
        <v>132462.60999999996</v>
      </c>
      <c r="H235" s="18">
        <f>Table547[[#Totals],[Difference]]</f>
        <v>14015.504559270517</v>
      </c>
      <c r="I235" s="41">
        <f>SUM(G235:H235)</f>
        <v>146478.11455927047</v>
      </c>
      <c r="L235" s="32"/>
      <c r="T235" s="1"/>
    </row>
    <row r="236" spans="1:21" x14ac:dyDescent="0.2">
      <c r="F236" s="65"/>
      <c r="G236" s="66">
        <f>G234-G235</f>
        <v>-571.3399999999674</v>
      </c>
      <c r="H236" s="66">
        <f>H234-H235</f>
        <v>0</v>
      </c>
      <c r="I236" s="67">
        <f>I234-I235</f>
        <v>-571.3399999999674</v>
      </c>
      <c r="L236" s="84"/>
      <c r="T236" s="1"/>
    </row>
    <row r="237" spans="1:21" x14ac:dyDescent="0.2">
      <c r="T237" s="1"/>
    </row>
    <row r="238" spans="1:21" x14ac:dyDescent="0.2">
      <c r="T238" s="1"/>
    </row>
    <row r="239" spans="1:21" x14ac:dyDescent="0.2">
      <c r="T239" s="1"/>
    </row>
    <row r="240" spans="1:21" x14ac:dyDescent="0.2">
      <c r="T240" s="1"/>
    </row>
    <row r="246" spans="3:20" x14ac:dyDescent="0.2">
      <c r="T246" s="1"/>
    </row>
    <row r="247" spans="3:20" x14ac:dyDescent="0.2">
      <c r="T247" s="1"/>
    </row>
    <row r="248" spans="3:20" x14ac:dyDescent="0.2">
      <c r="C248" s="1"/>
      <c r="T248" s="1"/>
    </row>
    <row r="249" spans="3:20" x14ac:dyDescent="0.2">
      <c r="C249" s="1"/>
      <c r="T249" s="1"/>
    </row>
    <row r="250" spans="3:20" x14ac:dyDescent="0.2">
      <c r="C250" s="1"/>
      <c r="T250" s="1"/>
    </row>
    <row r="251" spans="3:20" x14ac:dyDescent="0.2">
      <c r="C251" s="1"/>
    </row>
    <row r="252" spans="3:20" x14ac:dyDescent="0.2">
      <c r="C252" s="1"/>
    </row>
    <row r="253" spans="3:20" x14ac:dyDescent="0.2">
      <c r="C253" s="1"/>
    </row>
    <row r="254" spans="3:20" x14ac:dyDescent="0.2">
      <c r="C254" s="1"/>
    </row>
    <row r="255" spans="3:20" x14ac:dyDescent="0.2">
      <c r="C255" s="1"/>
    </row>
    <row r="256" spans="3:20" x14ac:dyDescent="0.2">
      <c r="C256" s="1"/>
    </row>
    <row r="257" spans="3:20" x14ac:dyDescent="0.2">
      <c r="C257" s="1"/>
    </row>
    <row r="258" spans="3:20" x14ac:dyDescent="0.2">
      <c r="C258" s="1"/>
    </row>
    <row r="259" spans="3:20" x14ac:dyDescent="0.2">
      <c r="C259" s="1"/>
    </row>
    <row r="260" spans="3:20" x14ac:dyDescent="0.2">
      <c r="C260" s="1"/>
      <c r="Q260" s="84">
        <f>Table10[[#Totals],[Amount]]-'Cash Expenses'!N35</f>
        <v>-1</v>
      </c>
    </row>
    <row r="261" spans="3:20" x14ac:dyDescent="0.2">
      <c r="C261" s="1"/>
      <c r="T261" s="1"/>
    </row>
    <row r="262" spans="3:20" x14ac:dyDescent="0.2">
      <c r="C262" s="1"/>
    </row>
    <row r="263" spans="3:20" x14ac:dyDescent="0.2">
      <c r="C263" s="1"/>
    </row>
    <row r="264" spans="3:20" x14ac:dyDescent="0.2">
      <c r="C264" s="1"/>
    </row>
    <row r="265" spans="3:20" x14ac:dyDescent="0.2">
      <c r="C265" s="1"/>
    </row>
    <row r="266" spans="3:20" x14ac:dyDescent="0.2">
      <c r="C266" s="1"/>
    </row>
    <row r="267" spans="3:20" x14ac:dyDescent="0.2">
      <c r="C267" s="1"/>
    </row>
    <row r="268" spans="3:20" x14ac:dyDescent="0.2">
      <c r="C268" s="1"/>
      <c r="Q268" s="84">
        <f>'Cash Expenses'!N35+'Cash Expenses'!N43</f>
        <v>10375</v>
      </c>
    </row>
    <row r="279" spans="3:3" x14ac:dyDescent="0.2">
      <c r="C279" s="1"/>
    </row>
  </sheetData>
  <mergeCells count="1">
    <mergeCell ref="J4:N4"/>
  </mergeCells>
  <dataValidations count="1">
    <dataValidation type="list" allowBlank="1" showInputMessage="1" showErrorMessage="1" sqref="T6:T230">
      <formula1>$Y$1:$Y$3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workbookViewId="0">
      <selection activeCell="E4" sqref="E4"/>
    </sheetView>
  </sheetViews>
  <sheetFormatPr defaultRowHeight="12" x14ac:dyDescent="0.2"/>
  <cols>
    <col min="1" max="1" width="2.7109375" style="44" customWidth="1"/>
    <col min="2" max="2" width="5.7109375" style="44" bestFit="1" customWidth="1"/>
    <col min="3" max="3" width="46.5703125" style="44" bestFit="1" customWidth="1"/>
    <col min="4" max="4" width="15.5703125" style="44" bestFit="1" customWidth="1"/>
    <col min="5" max="7" width="8.7109375" style="44" bestFit="1" customWidth="1"/>
    <col min="8" max="8" width="18.7109375" style="44" bestFit="1" customWidth="1"/>
    <col min="9" max="9" width="1.7109375" style="44" customWidth="1"/>
    <col min="10" max="10" width="13.42578125" style="44" bestFit="1" customWidth="1"/>
    <col min="11" max="11" width="10.7109375" style="44" bestFit="1" customWidth="1"/>
    <col min="12" max="12" width="9" style="44" bestFit="1" customWidth="1"/>
    <col min="13" max="13" width="9.85546875" style="44" bestFit="1" customWidth="1"/>
    <col min="14" max="14" width="8.85546875" style="44" bestFit="1" customWidth="1"/>
    <col min="15" max="15" width="9.140625" style="44"/>
    <col min="16" max="16" width="15.5703125" style="44" bestFit="1" customWidth="1"/>
    <col min="17" max="17" width="9" style="44" bestFit="1" customWidth="1"/>
    <col min="18" max="19" width="7.42578125" style="44" bestFit="1" customWidth="1"/>
    <col min="20" max="16384" width="9.140625" style="44"/>
  </cols>
  <sheetData>
    <row r="1" spans="2:18" ht="12.75" thickBot="1" x14ac:dyDescent="0.25"/>
    <row r="2" spans="2:18" x14ac:dyDescent="0.2">
      <c r="B2" s="258" t="s">
        <v>160</v>
      </c>
      <c r="C2" s="259"/>
      <c r="D2" s="259"/>
      <c r="E2" s="259"/>
      <c r="F2" s="259"/>
      <c r="G2" s="260"/>
      <c r="H2" s="1"/>
      <c r="I2" s="1"/>
      <c r="N2" s="1"/>
      <c r="P2" s="44" t="s">
        <v>9</v>
      </c>
      <c r="Q2" s="44" t="s">
        <v>175</v>
      </c>
      <c r="R2" s="44" t="s">
        <v>64</v>
      </c>
    </row>
    <row r="3" spans="2:18" x14ac:dyDescent="0.2">
      <c r="B3" s="61" t="s">
        <v>6</v>
      </c>
      <c r="C3" s="10" t="s">
        <v>162</v>
      </c>
      <c r="D3" s="10" t="s">
        <v>9</v>
      </c>
      <c r="E3" s="10" t="s">
        <v>14</v>
      </c>
      <c r="F3" s="10" t="s">
        <v>15</v>
      </c>
      <c r="G3" s="62" t="s">
        <v>64</v>
      </c>
      <c r="H3" s="1"/>
      <c r="I3" s="1"/>
      <c r="N3" s="1"/>
      <c r="P3" s="211">
        <f>D8</f>
        <v>42895</v>
      </c>
      <c r="Q3" s="107">
        <f>Table1610131416[[#Totals],[Debit]]</f>
        <v>3000</v>
      </c>
      <c r="R3" s="107">
        <f>Table1610131416[[#Totals],[Pending]]</f>
        <v>0</v>
      </c>
    </row>
    <row r="4" spans="2:18" x14ac:dyDescent="0.2">
      <c r="B4" s="61">
        <v>1</v>
      </c>
      <c r="C4" s="10" t="s">
        <v>164</v>
      </c>
      <c r="D4" s="17">
        <v>42888</v>
      </c>
      <c r="E4" s="18">
        <v>3000</v>
      </c>
      <c r="F4" s="18">
        <v>100</v>
      </c>
      <c r="G4" s="64">
        <f>E4-F4</f>
        <v>2900</v>
      </c>
      <c r="H4" s="1" t="s">
        <v>165</v>
      </c>
      <c r="I4" s="1"/>
      <c r="N4" s="1"/>
      <c r="P4" s="211">
        <f>D16</f>
        <v>42842</v>
      </c>
      <c r="Q4" s="107">
        <f>Table1615[[#Totals],[Debit]]</f>
        <v>4312</v>
      </c>
      <c r="R4" s="107">
        <f>Table1615[[#Totals],[Pending]]</f>
        <v>-12</v>
      </c>
    </row>
    <row r="5" spans="2:18" x14ac:dyDescent="0.2">
      <c r="B5" s="61">
        <v>3</v>
      </c>
      <c r="C5" s="10" t="s">
        <v>167</v>
      </c>
      <c r="D5" s="17">
        <v>42893</v>
      </c>
      <c r="E5" s="18"/>
      <c r="F5" s="18">
        <v>600</v>
      </c>
      <c r="G5" s="64">
        <f>G4-Table1610131416[[#This Row],[Debit]]</f>
        <v>2300</v>
      </c>
      <c r="H5" s="1"/>
      <c r="I5" s="1"/>
      <c r="N5" s="1"/>
      <c r="P5" s="211">
        <f>D33</f>
        <v>42987</v>
      </c>
      <c r="Q5" s="212">
        <f>Table16810[[#Totals],[Debit]]</f>
        <v>10375</v>
      </c>
      <c r="R5" s="212">
        <f>Table16810[[#Totals],[Pending]]</f>
        <v>-375</v>
      </c>
    </row>
    <row r="6" spans="2:18" ht="12.75" thickBot="1" x14ac:dyDescent="0.25">
      <c r="B6" s="61">
        <v>3</v>
      </c>
      <c r="C6" s="10" t="s">
        <v>168</v>
      </c>
      <c r="D6" s="17">
        <v>42886</v>
      </c>
      <c r="E6" s="18"/>
      <c r="F6" s="18">
        <v>1600</v>
      </c>
      <c r="G6" s="64">
        <f>G5-Table1610131416[[#This Row],[Debit]]</f>
        <v>700</v>
      </c>
      <c r="H6" s="1"/>
      <c r="I6" s="1"/>
      <c r="J6" s="1"/>
      <c r="K6" s="1"/>
      <c r="L6" s="1"/>
      <c r="M6" s="1"/>
      <c r="N6" s="1"/>
      <c r="P6" s="211">
        <f>D45</f>
        <v>43038</v>
      </c>
      <c r="Q6" s="212">
        <f>Table168101617[[#Totals],[Debit]]</f>
        <v>8609.5</v>
      </c>
      <c r="R6" s="212">
        <f>Table168101617[[#Totals],[Pending]]</f>
        <v>390.5</v>
      </c>
    </row>
    <row r="7" spans="2:18" x14ac:dyDescent="0.2">
      <c r="B7" s="61">
        <v>4</v>
      </c>
      <c r="C7" s="10" t="s">
        <v>169</v>
      </c>
      <c r="D7" s="17">
        <v>42891</v>
      </c>
      <c r="E7" s="18"/>
      <c r="F7" s="18">
        <v>15</v>
      </c>
      <c r="G7" s="64">
        <f>G6-Table1610131416[[#This Row],[Debit]]</f>
        <v>685</v>
      </c>
      <c r="H7" s="1"/>
      <c r="I7" s="1"/>
      <c r="J7" s="261" t="s">
        <v>170</v>
      </c>
      <c r="K7" s="262"/>
      <c r="L7" s="262"/>
      <c r="M7" s="262"/>
      <c r="N7" s="263"/>
      <c r="P7" s="211">
        <f>D54</f>
        <v>43047</v>
      </c>
      <c r="Q7" s="212">
        <f>Table16810161716[[#Totals],[Debit]]</f>
        <v>3100</v>
      </c>
      <c r="R7" s="212">
        <f>Table16810161716[[#Totals],[Pending]]</f>
        <v>400</v>
      </c>
    </row>
    <row r="8" spans="2:18" x14ac:dyDescent="0.2">
      <c r="B8" s="61">
        <v>5</v>
      </c>
      <c r="C8" s="10" t="s">
        <v>171</v>
      </c>
      <c r="D8" s="17">
        <v>42895</v>
      </c>
      <c r="E8" s="18"/>
      <c r="F8" s="18">
        <v>685</v>
      </c>
      <c r="G8" s="68">
        <f>E8-F8</f>
        <v>-685</v>
      </c>
      <c r="H8" s="1"/>
      <c r="I8" s="1"/>
      <c r="J8" s="69" t="s">
        <v>9</v>
      </c>
      <c r="K8" s="10" t="s">
        <v>172</v>
      </c>
      <c r="L8" s="10" t="s">
        <v>173</v>
      </c>
      <c r="M8" s="10" t="s">
        <v>174</v>
      </c>
      <c r="N8" s="62" t="s">
        <v>175</v>
      </c>
      <c r="P8" s="211"/>
      <c r="Q8" s="215">
        <f>SUBTOTAL(109,Table12[Amount])</f>
        <v>29396.5</v>
      </c>
      <c r="R8" s="215">
        <f>SUBTOTAL(109,Table12[Pending])</f>
        <v>403.5</v>
      </c>
    </row>
    <row r="9" spans="2:18" x14ac:dyDescent="0.2">
      <c r="B9" s="70"/>
      <c r="C9" s="71"/>
      <c r="D9" s="72" t="s">
        <v>62</v>
      </c>
      <c r="E9" s="73">
        <f>SUBTOTAL(109,E4:E8)</f>
        <v>3000</v>
      </c>
      <c r="F9" s="73">
        <f>SUBTOTAL(109,F4:F8)</f>
        <v>3000</v>
      </c>
      <c r="G9" s="203">
        <f>Table1610131416[[#Totals],[Credit]]-Table1610131416[[#Totals],[Debit]]</f>
        <v>0</v>
      </c>
      <c r="H9" s="1"/>
      <c r="I9" s="1"/>
      <c r="J9" s="74">
        <v>42980</v>
      </c>
      <c r="K9" s="10" t="s">
        <v>176</v>
      </c>
      <c r="L9" s="18">
        <v>4</v>
      </c>
      <c r="M9" s="18">
        <v>145</v>
      </c>
      <c r="N9" s="64">
        <f t="shared" ref="N9:N17" si="0">L9*M9</f>
        <v>580</v>
      </c>
    </row>
    <row r="10" spans="2:18" x14ac:dyDescent="0.2">
      <c r="B10" s="264" t="s">
        <v>177</v>
      </c>
      <c r="C10" s="265"/>
      <c r="D10" s="265"/>
      <c r="E10" s="265"/>
      <c r="F10" s="265"/>
      <c r="G10" s="266"/>
      <c r="H10" s="1"/>
      <c r="I10" s="1"/>
      <c r="J10" s="69"/>
      <c r="K10" s="10" t="s">
        <v>178</v>
      </c>
      <c r="L10" s="18">
        <v>8</v>
      </c>
      <c r="M10" s="18">
        <v>10</v>
      </c>
      <c r="N10" s="64">
        <f t="shared" si="0"/>
        <v>80</v>
      </c>
    </row>
    <row r="11" spans="2:18" x14ac:dyDescent="0.2">
      <c r="B11" s="61" t="s">
        <v>6</v>
      </c>
      <c r="C11" s="10" t="s">
        <v>162</v>
      </c>
      <c r="D11" s="10" t="s">
        <v>9</v>
      </c>
      <c r="E11" s="10" t="s">
        <v>14</v>
      </c>
      <c r="F11" s="10" t="s">
        <v>15</v>
      </c>
      <c r="G11" s="62" t="s">
        <v>64</v>
      </c>
      <c r="H11" s="1"/>
      <c r="I11" s="1"/>
      <c r="J11" s="69"/>
      <c r="K11" s="10" t="s">
        <v>179</v>
      </c>
      <c r="L11" s="18">
        <v>1</v>
      </c>
      <c r="M11" s="18">
        <v>750</v>
      </c>
      <c r="N11" s="64">
        <f t="shared" si="0"/>
        <v>750</v>
      </c>
    </row>
    <row r="12" spans="2:18" x14ac:dyDescent="0.2">
      <c r="B12" s="61">
        <v>1</v>
      </c>
      <c r="C12" s="10" t="s">
        <v>180</v>
      </c>
      <c r="D12" s="17">
        <v>42839</v>
      </c>
      <c r="E12" s="18">
        <v>4300</v>
      </c>
      <c r="F12" s="18">
        <v>300</v>
      </c>
      <c r="G12" s="64">
        <f>E12-F12</f>
        <v>4000</v>
      </c>
      <c r="H12" s="1" t="s">
        <v>165</v>
      </c>
      <c r="I12" s="1"/>
      <c r="J12" s="69"/>
      <c r="K12" s="10" t="s">
        <v>181</v>
      </c>
      <c r="L12" s="18">
        <v>2</v>
      </c>
      <c r="M12" s="18">
        <v>30</v>
      </c>
      <c r="N12" s="64">
        <f t="shared" si="0"/>
        <v>60</v>
      </c>
    </row>
    <row r="13" spans="2:18" x14ac:dyDescent="0.2">
      <c r="B13" s="61">
        <v>2</v>
      </c>
      <c r="C13" s="10" t="s">
        <v>182</v>
      </c>
      <c r="D13" s="17"/>
      <c r="E13" s="18"/>
      <c r="F13" s="18">
        <v>1740</v>
      </c>
      <c r="G13" s="64">
        <f>E13-F13</f>
        <v>-1740</v>
      </c>
      <c r="H13" s="32"/>
      <c r="I13" s="1"/>
      <c r="J13" s="69"/>
      <c r="K13" s="10" t="s">
        <v>183</v>
      </c>
      <c r="L13" s="18">
        <v>2</v>
      </c>
      <c r="M13" s="18">
        <f>380/2</f>
        <v>190</v>
      </c>
      <c r="N13" s="64">
        <f t="shared" si="0"/>
        <v>380</v>
      </c>
    </row>
    <row r="14" spans="2:18" x14ac:dyDescent="0.2">
      <c r="B14" s="61">
        <v>3</v>
      </c>
      <c r="C14" s="10" t="s">
        <v>184</v>
      </c>
      <c r="D14" s="17">
        <v>42855</v>
      </c>
      <c r="E14" s="18"/>
      <c r="F14" s="18">
        <v>1300</v>
      </c>
      <c r="G14" s="64">
        <f>E14-F14</f>
        <v>-1300</v>
      </c>
      <c r="H14" s="1"/>
      <c r="I14" s="1"/>
      <c r="J14" s="69"/>
      <c r="K14" s="10" t="s">
        <v>185</v>
      </c>
      <c r="L14" s="18">
        <v>1</v>
      </c>
      <c r="M14" s="18">
        <v>60</v>
      </c>
      <c r="N14" s="64">
        <f t="shared" si="0"/>
        <v>60</v>
      </c>
    </row>
    <row r="15" spans="2:18" x14ac:dyDescent="0.2">
      <c r="B15" s="61">
        <v>4</v>
      </c>
      <c r="C15" s="10" t="s">
        <v>111</v>
      </c>
      <c r="D15" s="17">
        <v>42855</v>
      </c>
      <c r="E15" s="18"/>
      <c r="F15" s="18">
        <v>890</v>
      </c>
      <c r="G15" s="64">
        <f>E15-F15</f>
        <v>-890</v>
      </c>
      <c r="H15" s="1"/>
      <c r="I15" s="1"/>
      <c r="J15" s="69"/>
      <c r="K15" s="10" t="s">
        <v>186</v>
      </c>
      <c r="L15" s="18">
        <v>1</v>
      </c>
      <c r="M15" s="18">
        <v>50</v>
      </c>
      <c r="N15" s="64">
        <f t="shared" si="0"/>
        <v>50</v>
      </c>
    </row>
    <row r="16" spans="2:18" x14ac:dyDescent="0.2">
      <c r="B16" s="61">
        <v>5</v>
      </c>
      <c r="C16" s="10" t="s">
        <v>187</v>
      </c>
      <c r="D16" s="17">
        <v>42842</v>
      </c>
      <c r="E16" s="18"/>
      <c r="F16" s="18">
        <v>82</v>
      </c>
      <c r="G16" s="64">
        <f>E16-F16</f>
        <v>-82</v>
      </c>
      <c r="H16" s="1"/>
      <c r="I16" s="1"/>
      <c r="J16" s="69"/>
      <c r="K16" s="10" t="s">
        <v>188</v>
      </c>
      <c r="L16" s="18">
        <v>30</v>
      </c>
      <c r="M16" s="18">
        <v>8</v>
      </c>
      <c r="N16" s="64">
        <f t="shared" si="0"/>
        <v>240</v>
      </c>
    </row>
    <row r="17" spans="2:14" ht="12.75" thickBot="1" x14ac:dyDescent="0.25">
      <c r="B17" s="75"/>
      <c r="C17" s="76"/>
      <c r="D17" s="77" t="s">
        <v>62</v>
      </c>
      <c r="E17" s="78">
        <f>SUBTOTAL(109,E12:E16)</f>
        <v>4300</v>
      </c>
      <c r="F17" s="78">
        <f>SUBTOTAL(109,F12:F16)</f>
        <v>4312</v>
      </c>
      <c r="G17" s="203">
        <f>Table1615[[#Totals],[Credit]]-Table1615[[#Totals],[Debit]]</f>
        <v>-12</v>
      </c>
      <c r="H17" s="1"/>
      <c r="I17" s="1"/>
      <c r="J17" s="69"/>
      <c r="K17" s="10" t="s">
        <v>185</v>
      </c>
      <c r="L17" s="18">
        <v>1</v>
      </c>
      <c r="M17" s="18">
        <v>5</v>
      </c>
      <c r="N17" s="64">
        <f t="shared" si="0"/>
        <v>5</v>
      </c>
    </row>
    <row r="18" spans="2:14" x14ac:dyDescent="0.2">
      <c r="B18" s="264" t="s">
        <v>189</v>
      </c>
      <c r="C18" s="265"/>
      <c r="D18" s="265"/>
      <c r="E18" s="265"/>
      <c r="F18" s="265"/>
      <c r="G18" s="266"/>
      <c r="H18" s="1"/>
      <c r="I18" s="1"/>
      <c r="J18" s="80" t="s">
        <v>190</v>
      </c>
      <c r="K18" s="81"/>
      <c r="L18" s="82"/>
      <c r="M18" s="82"/>
      <c r="N18" s="83">
        <f>SUBTOTAL(109,N9:N17)</f>
        <v>2205</v>
      </c>
    </row>
    <row r="19" spans="2:14" x14ac:dyDescent="0.2">
      <c r="B19" s="61" t="s">
        <v>6</v>
      </c>
      <c r="C19" s="10" t="s">
        <v>162</v>
      </c>
      <c r="D19" s="10" t="s">
        <v>9</v>
      </c>
      <c r="E19" s="10" t="s">
        <v>14</v>
      </c>
      <c r="F19" s="10" t="s">
        <v>15</v>
      </c>
      <c r="G19" s="62" t="s">
        <v>64</v>
      </c>
      <c r="H19" s="1"/>
      <c r="I19" s="1"/>
      <c r="J19" s="74">
        <v>42981</v>
      </c>
      <c r="K19" s="10" t="s">
        <v>191</v>
      </c>
      <c r="L19" s="18">
        <v>1</v>
      </c>
      <c r="M19" s="18">
        <v>200</v>
      </c>
      <c r="N19" s="64">
        <f>Table10[[#This Row],[Qty]]*Table10[[#This Row],[Cost]]</f>
        <v>200</v>
      </c>
    </row>
    <row r="20" spans="2:14" x14ac:dyDescent="0.2">
      <c r="B20" s="61">
        <v>1</v>
      </c>
      <c r="C20" s="10" t="s">
        <v>180</v>
      </c>
      <c r="D20" s="17">
        <v>42960</v>
      </c>
      <c r="E20" s="18">
        <v>1000</v>
      </c>
      <c r="F20" s="18">
        <v>150</v>
      </c>
      <c r="G20" s="64">
        <f>E20-F20</f>
        <v>850</v>
      </c>
      <c r="H20" s="1"/>
      <c r="I20" s="1"/>
      <c r="J20" s="69"/>
      <c r="K20" s="10" t="s">
        <v>192</v>
      </c>
      <c r="L20" s="18">
        <v>3</v>
      </c>
      <c r="M20" s="18">
        <v>110</v>
      </c>
      <c r="N20" s="64">
        <f>Table10[[#This Row],[Qty]]*Table10[[#This Row],[Cost]]</f>
        <v>330</v>
      </c>
    </row>
    <row r="21" spans="2:14" x14ac:dyDescent="0.2">
      <c r="B21" s="61">
        <v>2</v>
      </c>
      <c r="C21" s="10" t="s">
        <v>193</v>
      </c>
      <c r="D21" s="17">
        <v>42960</v>
      </c>
      <c r="E21" s="18"/>
      <c r="F21" s="18">
        <v>500</v>
      </c>
      <c r="G21" s="64">
        <f>E21-F21</f>
        <v>-500</v>
      </c>
      <c r="H21" s="1"/>
      <c r="I21" s="1"/>
      <c r="J21" s="69"/>
      <c r="K21" s="10" t="s">
        <v>194</v>
      </c>
      <c r="L21" s="18">
        <v>2</v>
      </c>
      <c r="M21" s="18">
        <v>120</v>
      </c>
      <c r="N21" s="64">
        <f>Table10[[#This Row],[Qty]]*Table10[[#This Row],[Cost]]</f>
        <v>240</v>
      </c>
    </row>
    <row r="22" spans="2:14" x14ac:dyDescent="0.2">
      <c r="B22" s="61">
        <v>3</v>
      </c>
      <c r="C22" s="10" t="s">
        <v>195</v>
      </c>
      <c r="D22" s="17">
        <v>42965</v>
      </c>
      <c r="E22" s="18"/>
      <c r="F22" s="18">
        <v>350</v>
      </c>
      <c r="G22" s="64">
        <f>E22-F22</f>
        <v>-350</v>
      </c>
      <c r="H22" s="1"/>
      <c r="I22" s="1"/>
      <c r="J22" s="69"/>
      <c r="K22" s="10" t="s">
        <v>196</v>
      </c>
      <c r="L22" s="18">
        <v>1</v>
      </c>
      <c r="M22" s="18">
        <v>50</v>
      </c>
      <c r="N22" s="64">
        <f>Table10[[#This Row],[Qty]]*Table10[[#This Row],[Cost]]</f>
        <v>50</v>
      </c>
    </row>
    <row r="23" spans="2:14" ht="12.75" thickBot="1" x14ac:dyDescent="0.25">
      <c r="B23" s="75"/>
      <c r="C23" s="76"/>
      <c r="D23" s="77" t="s">
        <v>62</v>
      </c>
      <c r="E23" s="78">
        <f>SUBTOTAL(109,E20:E22)</f>
        <v>1000</v>
      </c>
      <c r="F23" s="78">
        <f>SUBTOTAL(109,F20:F22)</f>
        <v>1000</v>
      </c>
      <c r="G23" s="79"/>
      <c r="H23" s="1"/>
      <c r="I23" s="1"/>
      <c r="J23" s="69"/>
      <c r="K23" s="10" t="s">
        <v>197</v>
      </c>
      <c r="L23" s="18">
        <v>1</v>
      </c>
      <c r="M23" s="18">
        <v>20</v>
      </c>
      <c r="N23" s="64">
        <f>Table10[[#This Row],[Qty]]*Table10[[#This Row],[Cost]]</f>
        <v>20</v>
      </c>
    </row>
    <row r="24" spans="2:14" x14ac:dyDescent="0.2">
      <c r="B24" s="267" t="s">
        <v>198</v>
      </c>
      <c r="C24" s="268"/>
      <c r="D24" s="268"/>
      <c r="E24" s="268"/>
      <c r="F24" s="268"/>
      <c r="G24" s="269"/>
      <c r="H24" s="1"/>
      <c r="I24" s="1"/>
      <c r="J24" s="69"/>
      <c r="K24" s="10" t="s">
        <v>199</v>
      </c>
      <c r="L24" s="18">
        <v>2</v>
      </c>
      <c r="M24" s="18">
        <v>20</v>
      </c>
      <c r="N24" s="64">
        <f>Table10[[#This Row],[Qty]]*Table10[[#This Row],[Cost]]</f>
        <v>40</v>
      </c>
    </row>
    <row r="25" spans="2:14" x14ac:dyDescent="0.2">
      <c r="B25" s="61" t="s">
        <v>6</v>
      </c>
      <c r="C25" s="10" t="s">
        <v>162</v>
      </c>
      <c r="D25" s="10" t="s">
        <v>9</v>
      </c>
      <c r="E25" s="10" t="s">
        <v>14</v>
      </c>
      <c r="F25" s="10" t="s">
        <v>15</v>
      </c>
      <c r="G25" s="62" t="s">
        <v>64</v>
      </c>
      <c r="H25" s="1"/>
      <c r="I25" s="1"/>
      <c r="J25" s="69"/>
      <c r="K25" s="10" t="s">
        <v>200</v>
      </c>
      <c r="L25" s="18">
        <v>2</v>
      </c>
      <c r="M25" s="18">
        <v>182</v>
      </c>
      <c r="N25" s="64">
        <f>Table10[[#This Row],[Qty]]*Table10[[#This Row],[Cost]]</f>
        <v>364</v>
      </c>
    </row>
    <row r="26" spans="2:14" x14ac:dyDescent="0.2">
      <c r="B26" s="61">
        <v>1</v>
      </c>
      <c r="C26" s="10" t="s">
        <v>201</v>
      </c>
      <c r="D26" s="17">
        <v>42980</v>
      </c>
      <c r="E26" s="18">
        <v>6000</v>
      </c>
      <c r="F26" s="18">
        <v>2000</v>
      </c>
      <c r="G26" s="64">
        <f t="shared" ref="G26:G33" si="1">E26-F26</f>
        <v>4000</v>
      </c>
      <c r="H26" s="1" t="s">
        <v>202</v>
      </c>
      <c r="I26" s="1"/>
      <c r="J26" s="80" t="s">
        <v>190</v>
      </c>
      <c r="K26" s="81"/>
      <c r="L26" s="82"/>
      <c r="M26" s="82"/>
      <c r="N26" s="83">
        <f>SUBTOTAL(109,N19:N25)</f>
        <v>1244</v>
      </c>
    </row>
    <row r="27" spans="2:14" x14ac:dyDescent="0.2">
      <c r="B27" s="61">
        <v>2</v>
      </c>
      <c r="C27" s="10" t="s">
        <v>203</v>
      </c>
      <c r="D27" s="17">
        <v>42980</v>
      </c>
      <c r="E27" s="18"/>
      <c r="F27" s="18">
        <v>1000</v>
      </c>
      <c r="G27" s="64">
        <f t="shared" si="1"/>
        <v>-1000</v>
      </c>
      <c r="H27" s="1"/>
      <c r="I27" s="1"/>
      <c r="J27" s="206">
        <v>42987</v>
      </c>
      <c r="K27" s="15" t="s">
        <v>291</v>
      </c>
      <c r="L27" s="29">
        <v>4</v>
      </c>
      <c r="M27" s="29">
        <v>20</v>
      </c>
      <c r="N27" s="151">
        <f>Table10[[#This Row],[Qty]]*Table10[[#This Row],[Cost]]</f>
        <v>80</v>
      </c>
    </row>
    <row r="28" spans="2:14" x14ac:dyDescent="0.2">
      <c r="B28" s="61">
        <v>3</v>
      </c>
      <c r="C28" s="10" t="s">
        <v>203</v>
      </c>
      <c r="D28" s="17">
        <v>42981</v>
      </c>
      <c r="E28" s="18"/>
      <c r="F28" s="18">
        <v>2200</v>
      </c>
      <c r="G28" s="64">
        <f t="shared" si="1"/>
        <v>-2200</v>
      </c>
      <c r="H28" s="1"/>
      <c r="I28" s="1"/>
      <c r="J28" s="150"/>
      <c r="K28" s="15" t="s">
        <v>292</v>
      </c>
      <c r="L28" s="29">
        <v>1</v>
      </c>
      <c r="M28" s="29">
        <v>220</v>
      </c>
      <c r="N28" s="151">
        <f>Table10[[#This Row],[Qty]]*Table10[[#This Row],[Cost]]</f>
        <v>220</v>
      </c>
    </row>
    <row r="29" spans="2:14" x14ac:dyDescent="0.2">
      <c r="B29" s="61">
        <v>4</v>
      </c>
      <c r="C29" s="10" t="s">
        <v>201</v>
      </c>
      <c r="D29" s="17">
        <v>42982</v>
      </c>
      <c r="E29" s="18"/>
      <c r="F29" s="18">
        <v>800</v>
      </c>
      <c r="G29" s="64">
        <f t="shared" si="1"/>
        <v>-800</v>
      </c>
      <c r="H29" s="1"/>
      <c r="I29" s="1"/>
      <c r="J29" s="150"/>
      <c r="K29" s="15" t="s">
        <v>183</v>
      </c>
      <c r="L29" s="29">
        <v>1</v>
      </c>
      <c r="M29" s="29">
        <v>75</v>
      </c>
      <c r="N29" s="151">
        <f>Table10[[#This Row],[Qty]]*Table10[[#This Row],[Cost]]</f>
        <v>75</v>
      </c>
    </row>
    <row r="30" spans="2:14" x14ac:dyDescent="0.2">
      <c r="B30" s="61">
        <v>5</v>
      </c>
      <c r="C30" s="10" t="s">
        <v>203</v>
      </c>
      <c r="D30" s="17">
        <v>42982</v>
      </c>
      <c r="E30" s="18"/>
      <c r="F30" s="18">
        <v>1600</v>
      </c>
      <c r="G30" s="64">
        <f t="shared" si="1"/>
        <v>-1600</v>
      </c>
      <c r="H30" s="1"/>
      <c r="I30" s="1"/>
      <c r="J30" s="150"/>
      <c r="K30" s="15" t="s">
        <v>294</v>
      </c>
      <c r="L30" s="29">
        <v>1</v>
      </c>
      <c r="M30" s="29">
        <v>110</v>
      </c>
      <c r="N30" s="151">
        <f>Table10[[#This Row],[Qty]]*Table10[[#This Row],[Cost]]</f>
        <v>110</v>
      </c>
    </row>
    <row r="31" spans="2:14" x14ac:dyDescent="0.2">
      <c r="B31" s="200">
        <v>5</v>
      </c>
      <c r="C31" s="10" t="s">
        <v>201</v>
      </c>
      <c r="D31" s="17">
        <v>42982</v>
      </c>
      <c r="E31" s="18"/>
      <c r="F31" s="18">
        <v>650</v>
      </c>
      <c r="G31" s="41">
        <f t="shared" si="1"/>
        <v>-650</v>
      </c>
      <c r="H31" s="1"/>
      <c r="I31" s="1"/>
      <c r="J31" s="150"/>
      <c r="K31" s="15" t="s">
        <v>295</v>
      </c>
      <c r="L31" s="29">
        <v>2</v>
      </c>
      <c r="M31" s="29">
        <v>10</v>
      </c>
      <c r="N31" s="151">
        <f>Table10[[#This Row],[Qty]]*Table10[[#This Row],[Cost]]</f>
        <v>20</v>
      </c>
    </row>
    <row r="32" spans="2:14" x14ac:dyDescent="0.2">
      <c r="B32" s="201">
        <v>6</v>
      </c>
      <c r="C32" s="10" t="s">
        <v>203</v>
      </c>
      <c r="D32" s="202">
        <v>42987</v>
      </c>
      <c r="E32" s="87">
        <v>4000</v>
      </c>
      <c r="F32" s="87">
        <v>1600</v>
      </c>
      <c r="G32" s="88">
        <f t="shared" si="1"/>
        <v>2400</v>
      </c>
      <c r="H32" s="1"/>
      <c r="I32" s="1"/>
      <c r="J32" s="150"/>
      <c r="K32" s="15" t="s">
        <v>293</v>
      </c>
      <c r="L32" s="29">
        <v>1</v>
      </c>
      <c r="M32" s="15">
        <v>20</v>
      </c>
      <c r="N32" s="151">
        <f>Table10[[#This Row],[Qty]]*Table10[[#This Row],[Cost]]</f>
        <v>20</v>
      </c>
    </row>
    <row r="33" spans="2:14" x14ac:dyDescent="0.2">
      <c r="B33" s="201">
        <v>7</v>
      </c>
      <c r="C33" s="10" t="s">
        <v>201</v>
      </c>
      <c r="D33" s="202">
        <v>42987</v>
      </c>
      <c r="E33" s="87"/>
      <c r="F33" s="87">
        <v>525</v>
      </c>
      <c r="G33" s="88">
        <f t="shared" si="1"/>
        <v>-525</v>
      </c>
      <c r="H33" s="1"/>
      <c r="I33" s="1"/>
      <c r="J33" s="213" t="s">
        <v>190</v>
      </c>
      <c r="K33" s="81"/>
      <c r="L33" s="160"/>
      <c r="M33" s="160"/>
      <c r="N33" s="203">
        <f>SUM(N27:N32)</f>
        <v>525</v>
      </c>
    </row>
    <row r="34" spans="2:14" ht="12.75" thickBot="1" x14ac:dyDescent="0.25">
      <c r="B34" s="75"/>
      <c r="C34" s="76"/>
      <c r="D34" s="77" t="s">
        <v>62</v>
      </c>
      <c r="E34" s="78">
        <f>SUBTOTAL(109,E26:E33)</f>
        <v>10000</v>
      </c>
      <c r="F34" s="78">
        <f>SUBTOTAL(109,F26:F33)</f>
        <v>10375</v>
      </c>
      <c r="G34" s="204">
        <f>SUBTOTAL(109,Table16810[Pending])</f>
        <v>-375</v>
      </c>
      <c r="H34" s="1"/>
      <c r="I34" s="1"/>
      <c r="J34" s="214"/>
      <c r="K34" s="76" t="s">
        <v>62</v>
      </c>
      <c r="L34" s="205"/>
      <c r="M34" s="205"/>
      <c r="N34" s="79">
        <f>N18+N26+N33</f>
        <v>3974</v>
      </c>
    </row>
    <row r="35" spans="2:14" ht="12.75" thickBot="1" x14ac:dyDescent="0.25">
      <c r="B35" s="252" t="s">
        <v>286</v>
      </c>
      <c r="C35" s="253"/>
      <c r="D35" s="253"/>
      <c r="E35" s="253"/>
      <c r="F35" s="253"/>
      <c r="G35" s="254"/>
      <c r="H35" s="1"/>
      <c r="I35" s="1"/>
      <c r="J35" s="1"/>
      <c r="K35" s="1"/>
      <c r="L35" s="1"/>
      <c r="M35" s="1"/>
      <c r="N35" s="84">
        <f>F26+F29+F31+F33</f>
        <v>3975</v>
      </c>
    </row>
    <row r="36" spans="2:14" x14ac:dyDescent="0.2">
      <c r="B36" s="61" t="s">
        <v>6</v>
      </c>
      <c r="C36" s="10" t="s">
        <v>162</v>
      </c>
      <c r="D36" s="10" t="s">
        <v>9</v>
      </c>
      <c r="E36" s="10" t="s">
        <v>14</v>
      </c>
      <c r="F36" s="10" t="s">
        <v>15</v>
      </c>
      <c r="G36" s="62" t="s">
        <v>64</v>
      </c>
      <c r="H36" s="1"/>
      <c r="I36" s="1"/>
      <c r="J36" s="255" t="s">
        <v>300</v>
      </c>
      <c r="K36" s="256"/>
      <c r="L36" s="256"/>
      <c r="M36" s="256"/>
      <c r="N36" s="257"/>
    </row>
    <row r="37" spans="2:14" x14ac:dyDescent="0.2">
      <c r="B37" s="61">
        <v>1</v>
      </c>
      <c r="C37" s="10" t="s">
        <v>282</v>
      </c>
      <c r="D37" s="17">
        <v>43036</v>
      </c>
      <c r="E37" s="18">
        <v>6000</v>
      </c>
      <c r="F37" s="18"/>
      <c r="G37" s="64">
        <f t="shared" ref="G37:G45" si="2">E37-F37</f>
        <v>6000</v>
      </c>
      <c r="H37" s="1"/>
      <c r="I37" s="1"/>
      <c r="J37" s="58" t="s">
        <v>9</v>
      </c>
      <c r="K37" s="59" t="s">
        <v>204</v>
      </c>
      <c r="L37" s="59" t="s">
        <v>173</v>
      </c>
      <c r="M37" s="59" t="s">
        <v>174</v>
      </c>
      <c r="N37" s="60" t="s">
        <v>175</v>
      </c>
    </row>
    <row r="38" spans="2:14" x14ac:dyDescent="0.2">
      <c r="B38" s="61">
        <v>2</v>
      </c>
      <c r="C38" s="10" t="s">
        <v>282</v>
      </c>
      <c r="D38" s="17">
        <v>43038</v>
      </c>
      <c r="E38" s="18">
        <v>3000</v>
      </c>
      <c r="F38" s="18"/>
      <c r="G38" s="64">
        <f t="shared" si="2"/>
        <v>3000</v>
      </c>
      <c r="H38" s="1" t="s">
        <v>202</v>
      </c>
      <c r="I38" s="1"/>
      <c r="J38" s="85">
        <v>42980</v>
      </c>
      <c r="K38" s="10" t="s">
        <v>204</v>
      </c>
      <c r="L38" s="18">
        <v>2</v>
      </c>
      <c r="M38" s="18">
        <v>800</v>
      </c>
      <c r="N38" s="41">
        <f>L38*M38</f>
        <v>1600</v>
      </c>
    </row>
    <row r="39" spans="2:14" x14ac:dyDescent="0.2">
      <c r="B39" s="61">
        <v>3</v>
      </c>
      <c r="C39" s="10" t="s">
        <v>287</v>
      </c>
      <c r="D39" s="17">
        <v>43038</v>
      </c>
      <c r="E39" s="18"/>
      <c r="F39" s="18">
        <v>4000</v>
      </c>
      <c r="G39" s="64">
        <f t="shared" si="2"/>
        <v>-4000</v>
      </c>
      <c r="H39" s="1" t="s">
        <v>202</v>
      </c>
      <c r="I39" s="1"/>
      <c r="J39" s="85">
        <v>42981</v>
      </c>
      <c r="K39" s="86" t="s">
        <v>204</v>
      </c>
      <c r="L39" s="87">
        <v>2</v>
      </c>
      <c r="M39" s="18">
        <v>800</v>
      </c>
      <c r="N39" s="88">
        <f>L39*M39</f>
        <v>1600</v>
      </c>
    </row>
    <row r="40" spans="2:14" x14ac:dyDescent="0.2">
      <c r="B40" s="61">
        <v>4</v>
      </c>
      <c r="C40" s="10" t="s">
        <v>288</v>
      </c>
      <c r="D40" s="17">
        <v>43037</v>
      </c>
      <c r="E40" s="18"/>
      <c r="F40" s="18">
        <v>2390</v>
      </c>
      <c r="G40" s="64">
        <f t="shared" si="2"/>
        <v>-2390</v>
      </c>
      <c r="H40" s="1"/>
      <c r="I40" s="1"/>
      <c r="J40" s="85">
        <v>42982</v>
      </c>
      <c r="K40" s="86" t="s">
        <v>204</v>
      </c>
      <c r="L40" s="87">
        <v>2</v>
      </c>
      <c r="M40" s="18">
        <v>800</v>
      </c>
      <c r="N40" s="41">
        <f>L40*M40</f>
        <v>1600</v>
      </c>
    </row>
    <row r="41" spans="2:14" x14ac:dyDescent="0.2">
      <c r="B41" s="61">
        <v>5</v>
      </c>
      <c r="C41" s="10" t="s">
        <v>289</v>
      </c>
      <c r="D41" s="17">
        <v>43037</v>
      </c>
      <c r="E41" s="18"/>
      <c r="F41" s="18">
        <f>140+90+60</f>
        <v>290</v>
      </c>
      <c r="G41" s="64">
        <f t="shared" si="2"/>
        <v>-290</v>
      </c>
      <c r="H41" s="1"/>
      <c r="I41" s="1"/>
      <c r="J41" s="89">
        <v>42987</v>
      </c>
      <c r="K41" s="86" t="s">
        <v>204</v>
      </c>
      <c r="L41" s="87">
        <v>2</v>
      </c>
      <c r="M41" s="18">
        <v>800</v>
      </c>
      <c r="N41" s="41">
        <f>L41*M41</f>
        <v>1600</v>
      </c>
    </row>
    <row r="42" spans="2:14" x14ac:dyDescent="0.2">
      <c r="B42" s="200">
        <v>5</v>
      </c>
      <c r="C42" s="10" t="s">
        <v>290</v>
      </c>
      <c r="D42" s="17">
        <v>43036</v>
      </c>
      <c r="E42" s="18"/>
      <c r="F42" s="18">
        <v>500</v>
      </c>
      <c r="G42" s="41">
        <f t="shared" si="2"/>
        <v>-500</v>
      </c>
      <c r="H42" s="1"/>
      <c r="I42" s="1"/>
      <c r="J42" s="207"/>
      <c r="K42" s="86"/>
      <c r="L42" s="66"/>
      <c r="M42" s="66"/>
      <c r="N42" s="67">
        <f>SUBTOTAL(109,Table11[Amount])</f>
        <v>6400</v>
      </c>
    </row>
    <row r="43" spans="2:14" x14ac:dyDescent="0.2">
      <c r="B43" s="201">
        <v>6</v>
      </c>
      <c r="C43" s="10" t="s">
        <v>297</v>
      </c>
      <c r="D43" s="17">
        <v>43038</v>
      </c>
      <c r="E43" s="18"/>
      <c r="F43" s="18">
        <v>100</v>
      </c>
      <c r="G43" s="41">
        <f t="shared" si="2"/>
        <v>-100</v>
      </c>
      <c r="H43" s="1"/>
      <c r="I43" s="1"/>
      <c r="J43" s="1"/>
      <c r="K43" s="1"/>
      <c r="L43" s="1"/>
      <c r="M43" s="1"/>
      <c r="N43" s="84">
        <f>F27+F28+F30+F32</f>
        <v>6400</v>
      </c>
    </row>
    <row r="44" spans="2:14" x14ac:dyDescent="0.2">
      <c r="B44" s="201">
        <v>7</v>
      </c>
      <c r="C44" s="10" t="s">
        <v>296</v>
      </c>
      <c r="D44" s="202">
        <v>43038</v>
      </c>
      <c r="E44" s="87"/>
      <c r="F44" s="208">
        <f>-Table16810[[#Totals],[Pending]]</f>
        <v>375</v>
      </c>
      <c r="G44" s="88">
        <f t="shared" si="2"/>
        <v>-375</v>
      </c>
      <c r="H44" s="1"/>
      <c r="I44" s="1"/>
      <c r="J44" s="1"/>
      <c r="K44" s="1"/>
      <c r="L44" s="1"/>
      <c r="M44" s="1"/>
      <c r="N44" s="1"/>
    </row>
    <row r="45" spans="2:14" x14ac:dyDescent="0.2">
      <c r="B45" s="201">
        <v>8</v>
      </c>
      <c r="C45" s="86" t="s">
        <v>298</v>
      </c>
      <c r="D45" s="202">
        <v>43038</v>
      </c>
      <c r="E45" s="87"/>
      <c r="F45" s="87">
        <v>954.5</v>
      </c>
      <c r="G45" s="88">
        <f t="shared" si="2"/>
        <v>-954.5</v>
      </c>
      <c r="H45" s="1"/>
      <c r="I45" s="1"/>
      <c r="J45" s="1"/>
      <c r="K45" s="1"/>
      <c r="L45" s="1"/>
      <c r="M45" s="1"/>
      <c r="N45" s="1"/>
    </row>
    <row r="46" spans="2:14" ht="12.75" thickBot="1" x14ac:dyDescent="0.25">
      <c r="B46" s="75"/>
      <c r="C46" s="76"/>
      <c r="D46" s="77" t="s">
        <v>62</v>
      </c>
      <c r="E46" s="78">
        <f>SUBTOTAL(109,E37:E45)</f>
        <v>9000</v>
      </c>
      <c r="F46" s="78">
        <f>SUBTOTAL(109,F37:F45)</f>
        <v>8609.5</v>
      </c>
      <c r="G46" s="79">
        <f>SUBTOTAL(109,Table168101617[Pending])</f>
        <v>390.5</v>
      </c>
      <c r="H46" s="1"/>
      <c r="I46" s="1"/>
      <c r="J46" s="1"/>
      <c r="K46" s="1"/>
      <c r="L46" s="1"/>
      <c r="M46" s="1"/>
      <c r="N46" s="1"/>
    </row>
    <row r="47" spans="2:14" x14ac:dyDescent="0.2">
      <c r="B47" s="252" t="s">
        <v>322</v>
      </c>
      <c r="C47" s="253"/>
      <c r="D47" s="253"/>
      <c r="E47" s="253"/>
      <c r="F47" s="253"/>
      <c r="G47" s="254"/>
      <c r="H47" s="1"/>
      <c r="I47" s="1"/>
      <c r="J47" s="1"/>
      <c r="K47" s="1"/>
      <c r="L47" s="1"/>
      <c r="M47" s="1"/>
      <c r="N47" s="1"/>
    </row>
    <row r="48" spans="2:14" x14ac:dyDescent="0.2">
      <c r="B48" s="61" t="s">
        <v>6</v>
      </c>
      <c r="C48" s="10" t="s">
        <v>162</v>
      </c>
      <c r="D48" s="10" t="s">
        <v>9</v>
      </c>
      <c r="E48" s="10" t="s">
        <v>14</v>
      </c>
      <c r="F48" s="10" t="s">
        <v>15</v>
      </c>
      <c r="G48" s="62" t="s">
        <v>64</v>
      </c>
      <c r="H48" s="1"/>
      <c r="I48" s="1"/>
      <c r="J48" s="58" t="s">
        <v>9</v>
      </c>
      <c r="K48" s="59" t="s">
        <v>172</v>
      </c>
      <c r="L48" s="59" t="s">
        <v>173</v>
      </c>
      <c r="M48" s="59" t="s">
        <v>174</v>
      </c>
      <c r="N48" s="60" t="s">
        <v>175</v>
      </c>
    </row>
    <row r="49" spans="2:14" x14ac:dyDescent="0.2">
      <c r="B49" s="61">
        <v>1</v>
      </c>
      <c r="C49" s="10" t="s">
        <v>279</v>
      </c>
      <c r="D49" s="17">
        <v>43047</v>
      </c>
      <c r="E49" s="18">
        <v>3500</v>
      </c>
      <c r="F49" s="18"/>
      <c r="G49" s="64">
        <f t="shared" ref="G49:G54" si="3">E49-F49</f>
        <v>3500</v>
      </c>
      <c r="H49" s="1" t="s">
        <v>165</v>
      </c>
      <c r="I49" s="1"/>
      <c r="J49" s="85">
        <v>43047</v>
      </c>
      <c r="K49" s="10" t="s">
        <v>324</v>
      </c>
      <c r="L49" s="18">
        <v>1</v>
      </c>
      <c r="M49" s="18">
        <v>20</v>
      </c>
      <c r="N49" s="41">
        <f t="shared" ref="N49:N54" si="4">L49*M49</f>
        <v>20</v>
      </c>
    </row>
    <row r="50" spans="2:14" x14ac:dyDescent="0.2">
      <c r="B50" s="61">
        <v>2</v>
      </c>
      <c r="C50" s="10" t="s">
        <v>323</v>
      </c>
      <c r="D50" s="17">
        <v>43047</v>
      </c>
      <c r="E50" s="18"/>
      <c r="F50" s="18">
        <v>1500</v>
      </c>
      <c r="G50" s="64">
        <f t="shared" si="3"/>
        <v>-1500</v>
      </c>
      <c r="H50" s="1"/>
      <c r="I50" s="1"/>
      <c r="J50" s="63"/>
      <c r="K50" s="10" t="s">
        <v>325</v>
      </c>
      <c r="L50" s="18">
        <v>2</v>
      </c>
      <c r="M50" s="18">
        <v>35</v>
      </c>
      <c r="N50" s="41">
        <f t="shared" si="4"/>
        <v>70</v>
      </c>
    </row>
    <row r="51" spans="2:14" x14ac:dyDescent="0.2">
      <c r="B51" s="61">
        <v>3</v>
      </c>
      <c r="C51" s="10" t="s">
        <v>330</v>
      </c>
      <c r="D51" s="17">
        <v>43047</v>
      </c>
      <c r="E51" s="18"/>
      <c r="F51" s="18">
        <f>Table17[[#Totals],[Amount]]</f>
        <v>365</v>
      </c>
      <c r="G51" s="64">
        <f t="shared" si="3"/>
        <v>-365</v>
      </c>
      <c r="H51" s="1"/>
      <c r="I51" s="1"/>
      <c r="J51" s="63"/>
      <c r="K51" s="10" t="s">
        <v>326</v>
      </c>
      <c r="L51" s="18">
        <v>2</v>
      </c>
      <c r="M51" s="18">
        <v>45</v>
      </c>
      <c r="N51" s="41">
        <f t="shared" si="4"/>
        <v>90</v>
      </c>
    </row>
    <row r="52" spans="2:14" x14ac:dyDescent="0.2">
      <c r="B52" s="61">
        <v>4</v>
      </c>
      <c r="C52" s="10" t="s">
        <v>331</v>
      </c>
      <c r="D52" s="17">
        <v>43047</v>
      </c>
      <c r="E52" s="18"/>
      <c r="F52" s="18">
        <v>800</v>
      </c>
      <c r="G52" s="64">
        <f t="shared" si="3"/>
        <v>-800</v>
      </c>
      <c r="H52" s="1"/>
      <c r="I52" s="1"/>
      <c r="J52" s="63"/>
      <c r="K52" s="10" t="s">
        <v>327</v>
      </c>
      <c r="L52" s="18">
        <v>1</v>
      </c>
      <c r="M52" s="18">
        <v>75</v>
      </c>
      <c r="N52" s="41">
        <f t="shared" si="4"/>
        <v>75</v>
      </c>
    </row>
    <row r="53" spans="2:14" x14ac:dyDescent="0.2">
      <c r="B53" s="61">
        <v>5</v>
      </c>
      <c r="C53" s="10" t="s">
        <v>332</v>
      </c>
      <c r="D53" s="17">
        <v>43047</v>
      </c>
      <c r="E53" s="18"/>
      <c r="F53" s="18">
        <v>235</v>
      </c>
      <c r="G53" s="64">
        <f t="shared" si="3"/>
        <v>-235</v>
      </c>
      <c r="H53" s="1"/>
      <c r="I53" s="1"/>
      <c r="J53" s="63"/>
      <c r="K53" s="10" t="s">
        <v>328</v>
      </c>
      <c r="L53" s="18">
        <v>1</v>
      </c>
      <c r="M53" s="18">
        <v>85</v>
      </c>
      <c r="N53" s="41">
        <f t="shared" si="4"/>
        <v>85</v>
      </c>
    </row>
    <row r="54" spans="2:14" x14ac:dyDescent="0.2">
      <c r="B54" s="200">
        <v>5</v>
      </c>
      <c r="C54" s="10" t="s">
        <v>333</v>
      </c>
      <c r="D54" s="17">
        <v>43047</v>
      </c>
      <c r="E54" s="18"/>
      <c r="F54" s="18">
        <v>200</v>
      </c>
      <c r="G54" s="41">
        <f t="shared" si="3"/>
        <v>-200</v>
      </c>
      <c r="H54" s="1"/>
      <c r="I54" s="1"/>
      <c r="J54" s="63"/>
      <c r="K54" s="10" t="s">
        <v>329</v>
      </c>
      <c r="L54" s="18">
        <v>1</v>
      </c>
      <c r="M54" s="18">
        <v>25</v>
      </c>
      <c r="N54" s="41">
        <f t="shared" si="4"/>
        <v>25</v>
      </c>
    </row>
    <row r="55" spans="2:14" ht="12.75" thickBot="1" x14ac:dyDescent="0.25">
      <c r="B55" s="75"/>
      <c r="C55" s="76"/>
      <c r="D55" s="77" t="s">
        <v>62</v>
      </c>
      <c r="E55" s="78">
        <f>SUBTOTAL(109,E49:E54)</f>
        <v>3500</v>
      </c>
      <c r="F55" s="78">
        <f>SUBTOTAL(109,F49:F54)</f>
        <v>3100</v>
      </c>
      <c r="G55" s="79">
        <f>SUBTOTAL(109,Table16810161716[Pending])</f>
        <v>400</v>
      </c>
      <c r="H55" s="1"/>
      <c r="I55" s="1"/>
      <c r="J55" s="65"/>
      <c r="K55" s="86"/>
      <c r="L55" s="209"/>
      <c r="M55" s="209"/>
      <c r="N55" s="210">
        <f>SUBTOTAL(109,Table17[Amount])</f>
        <v>365</v>
      </c>
    </row>
    <row r="56" spans="2:14" x14ac:dyDescent="0.2">
      <c r="B56" s="252" t="s">
        <v>322</v>
      </c>
      <c r="C56" s="253"/>
      <c r="D56" s="253"/>
      <c r="E56" s="253"/>
      <c r="F56" s="253"/>
      <c r="G56" s="254"/>
    </row>
    <row r="57" spans="2:14" x14ac:dyDescent="0.2">
      <c r="B57" s="61" t="s">
        <v>6</v>
      </c>
      <c r="C57" s="10" t="s">
        <v>162</v>
      </c>
      <c r="D57" s="10" t="s">
        <v>9</v>
      </c>
      <c r="E57" s="10" t="s">
        <v>14</v>
      </c>
      <c r="F57" s="10" t="s">
        <v>15</v>
      </c>
      <c r="G57" s="62" t="s">
        <v>64</v>
      </c>
    </row>
    <row r="58" spans="2:14" x14ac:dyDescent="0.2">
      <c r="B58" s="61">
        <v>1</v>
      </c>
      <c r="C58" s="10" t="s">
        <v>279</v>
      </c>
      <c r="D58" s="17">
        <v>43083</v>
      </c>
      <c r="E58" s="18">
        <v>2000</v>
      </c>
      <c r="F58" s="18"/>
      <c r="G58" s="64">
        <f t="shared" ref="G58:G63" si="5">E58-F58</f>
        <v>2000</v>
      </c>
    </row>
    <row r="59" spans="2:14" x14ac:dyDescent="0.2">
      <c r="B59" s="61">
        <v>2</v>
      </c>
      <c r="C59" s="10" t="s">
        <v>392</v>
      </c>
      <c r="D59" s="17">
        <v>43066</v>
      </c>
      <c r="E59" s="18"/>
      <c r="F59" s="18">
        <v>395</v>
      </c>
      <c r="G59" s="64">
        <f t="shared" si="5"/>
        <v>-395</v>
      </c>
    </row>
    <row r="60" spans="2:14" x14ac:dyDescent="0.2">
      <c r="B60" s="61">
        <v>3</v>
      </c>
      <c r="C60" s="10" t="s">
        <v>393</v>
      </c>
      <c r="D60" s="17">
        <v>43083</v>
      </c>
      <c r="E60" s="18"/>
      <c r="F60" s="18">
        <v>125</v>
      </c>
      <c r="G60" s="64">
        <f t="shared" si="5"/>
        <v>-125</v>
      </c>
    </row>
    <row r="61" spans="2:14" x14ac:dyDescent="0.2">
      <c r="B61" s="61">
        <v>4</v>
      </c>
      <c r="C61" s="10" t="s">
        <v>394</v>
      </c>
      <c r="D61" s="17">
        <v>43083</v>
      </c>
      <c r="E61" s="18"/>
      <c r="F61" s="18">
        <v>329</v>
      </c>
      <c r="G61" s="64">
        <f t="shared" si="5"/>
        <v>-329</v>
      </c>
    </row>
    <row r="62" spans="2:14" x14ac:dyDescent="0.2">
      <c r="B62" s="61">
        <v>5</v>
      </c>
      <c r="C62" s="10" t="s">
        <v>400</v>
      </c>
      <c r="D62" s="17"/>
      <c r="E62" s="18"/>
      <c r="F62" s="18">
        <v>200</v>
      </c>
      <c r="G62" s="64">
        <f t="shared" si="5"/>
        <v>-200</v>
      </c>
    </row>
    <row r="63" spans="2:14" x14ac:dyDescent="0.2">
      <c r="B63" s="200">
        <v>6</v>
      </c>
      <c r="C63" s="10" t="s">
        <v>413</v>
      </c>
      <c r="D63" s="17">
        <v>43091</v>
      </c>
      <c r="E63" s="18"/>
      <c r="F63" s="18">
        <v>335</v>
      </c>
      <c r="G63" s="41">
        <f t="shared" si="5"/>
        <v>-335</v>
      </c>
    </row>
    <row r="64" spans="2:14" x14ac:dyDescent="0.2">
      <c r="B64" s="236">
        <v>7</v>
      </c>
      <c r="C64" s="148" t="s">
        <v>376</v>
      </c>
      <c r="D64" s="17">
        <v>43070</v>
      </c>
      <c r="E64" s="52"/>
      <c r="F64" s="52">
        <v>250</v>
      </c>
      <c r="G64" s="230">
        <f>E64-F64</f>
        <v>-250</v>
      </c>
    </row>
    <row r="65" spans="2:7" x14ac:dyDescent="0.2">
      <c r="B65" s="236">
        <v>8</v>
      </c>
      <c r="C65" s="56" t="s">
        <v>406</v>
      </c>
      <c r="D65" s="17">
        <v>43091</v>
      </c>
      <c r="E65" s="52"/>
      <c r="F65" s="52">
        <v>48</v>
      </c>
      <c r="G65" s="230">
        <f>E65-F65</f>
        <v>-48</v>
      </c>
    </row>
    <row r="66" spans="2:7" ht="12.75" thickBot="1" x14ac:dyDescent="0.25">
      <c r="B66" s="231"/>
      <c r="C66" s="232"/>
      <c r="D66" s="233" t="s">
        <v>62</v>
      </c>
      <c r="E66" s="234">
        <f>SUBTOTAL(109,E58:E65)</f>
        <v>2000</v>
      </c>
      <c r="F66" s="234">
        <f>SUBTOTAL(109,F58:F65)</f>
        <v>1682</v>
      </c>
      <c r="G66" s="235">
        <f>SUBTOTAL(109,Table1681016171613[Pending])</f>
        <v>318</v>
      </c>
    </row>
  </sheetData>
  <mergeCells count="9">
    <mergeCell ref="B56:G56"/>
    <mergeCell ref="B47:G47"/>
    <mergeCell ref="J36:N36"/>
    <mergeCell ref="B2:G2"/>
    <mergeCell ref="J7:N7"/>
    <mergeCell ref="B10:G10"/>
    <mergeCell ref="B18:G18"/>
    <mergeCell ref="B24:G24"/>
    <mergeCell ref="B35:G35"/>
  </mergeCells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workbookViewId="0">
      <selection activeCell="C5" sqref="C5"/>
    </sheetView>
  </sheetViews>
  <sheetFormatPr defaultRowHeight="15" x14ac:dyDescent="0.25"/>
  <cols>
    <col min="2" max="2" width="18" bestFit="1" customWidth="1"/>
    <col min="3" max="3" width="13.28515625" customWidth="1"/>
    <col min="6" max="6" width="15.140625" customWidth="1"/>
    <col min="7" max="7" width="13.28515625" customWidth="1"/>
    <col min="8" max="8" width="16.28515625" customWidth="1"/>
    <col min="9" max="10" width="16.28515625" bestFit="1" customWidth="1"/>
    <col min="11" max="12" width="16.28515625" hidden="1" customWidth="1"/>
    <col min="13" max="13" width="18" bestFit="1" customWidth="1"/>
    <col min="14" max="14" width="13.140625" customWidth="1"/>
    <col min="15" max="15" width="16.28515625" bestFit="1" customWidth="1"/>
    <col min="16" max="16" width="11.28515625" customWidth="1"/>
    <col min="17" max="104" width="16.28515625" bestFit="1" customWidth="1"/>
    <col min="105" max="105" width="11.28515625" bestFit="1" customWidth="1"/>
  </cols>
  <sheetData>
    <row r="1" spans="2:12" ht="15.75" thickBot="1" x14ac:dyDescent="0.3"/>
    <row r="2" spans="2:12" x14ac:dyDescent="0.25">
      <c r="B2" s="166" t="s">
        <v>311</v>
      </c>
      <c r="C2" s="167" t="s">
        <v>313</v>
      </c>
      <c r="K2" s="171" t="s">
        <v>9</v>
      </c>
      <c r="L2" s="171" t="s">
        <v>14</v>
      </c>
    </row>
    <row r="3" spans="2:12" x14ac:dyDescent="0.25">
      <c r="B3" s="168" t="s">
        <v>82</v>
      </c>
      <c r="C3" s="169">
        <v>3226.38</v>
      </c>
      <c r="K3" s="156">
        <v>42536</v>
      </c>
      <c r="L3" s="157">
        <v>14346.504559270517</v>
      </c>
    </row>
    <row r="4" spans="2:12" x14ac:dyDescent="0.25">
      <c r="B4" s="168" t="s">
        <v>44</v>
      </c>
      <c r="C4" s="169">
        <v>52309</v>
      </c>
      <c r="K4" s="154">
        <v>42774</v>
      </c>
      <c r="L4" s="155">
        <v>13499</v>
      </c>
    </row>
    <row r="5" spans="2:12" x14ac:dyDescent="0.25">
      <c r="B5" s="168" t="s">
        <v>103</v>
      </c>
      <c r="C5" s="169">
        <v>38350</v>
      </c>
      <c r="K5" s="156">
        <v>42814</v>
      </c>
      <c r="L5" s="157">
        <v>70</v>
      </c>
    </row>
    <row r="6" spans="2:12" x14ac:dyDescent="0.25">
      <c r="B6" s="168" t="s">
        <v>71</v>
      </c>
      <c r="C6" s="169">
        <v>534493</v>
      </c>
      <c r="K6" s="154">
        <v>42817</v>
      </c>
      <c r="L6" s="159">
        <v>55096</v>
      </c>
    </row>
    <row r="7" spans="2:12" x14ac:dyDescent="0.25">
      <c r="B7" s="168" t="s">
        <v>38</v>
      </c>
      <c r="C7" s="169">
        <v>158409.23000000001</v>
      </c>
      <c r="K7" s="156">
        <v>42817</v>
      </c>
      <c r="L7" s="157">
        <v>30</v>
      </c>
    </row>
    <row r="8" spans="2:12" x14ac:dyDescent="0.25">
      <c r="B8" s="168" t="s">
        <v>162</v>
      </c>
      <c r="C8" s="169">
        <v>22846.2</v>
      </c>
      <c r="K8" s="154">
        <v>42817</v>
      </c>
      <c r="L8" s="155">
        <v>1093</v>
      </c>
    </row>
    <row r="9" spans="2:12" x14ac:dyDescent="0.25">
      <c r="B9" s="168" t="s">
        <v>26</v>
      </c>
      <c r="C9" s="169">
        <v>481418.04000000004</v>
      </c>
      <c r="K9" s="162">
        <v>42818</v>
      </c>
      <c r="L9" s="163">
        <v>88381.03</v>
      </c>
    </row>
    <row r="10" spans="2:12" x14ac:dyDescent="0.25">
      <c r="B10" s="168" t="s">
        <v>41</v>
      </c>
      <c r="C10" s="169">
        <v>1468</v>
      </c>
      <c r="K10" s="154">
        <v>42818</v>
      </c>
      <c r="L10" s="159">
        <v>10000</v>
      </c>
    </row>
    <row r="11" spans="2:12" x14ac:dyDescent="0.25">
      <c r="B11" s="168" t="s">
        <v>112</v>
      </c>
      <c r="C11" s="169">
        <v>29091</v>
      </c>
      <c r="K11" s="156">
        <v>42818</v>
      </c>
      <c r="L11" s="157">
        <v>70</v>
      </c>
    </row>
    <row r="12" spans="2:12" x14ac:dyDescent="0.25">
      <c r="B12" s="168" t="s">
        <v>86</v>
      </c>
      <c r="C12" s="169">
        <v>514081</v>
      </c>
      <c r="K12" s="154">
        <v>42818</v>
      </c>
      <c r="L12" s="155">
        <v>205</v>
      </c>
    </row>
    <row r="13" spans="2:12" x14ac:dyDescent="0.25">
      <c r="B13" s="168" t="s">
        <v>79</v>
      </c>
      <c r="C13" s="169">
        <v>84845.64</v>
      </c>
      <c r="K13" s="156">
        <v>42818</v>
      </c>
      <c r="L13" s="157">
        <v>0</v>
      </c>
    </row>
    <row r="14" spans="2:12" x14ac:dyDescent="0.25">
      <c r="B14" s="168" t="s">
        <v>30</v>
      </c>
      <c r="C14" s="169">
        <v>40759.990000000005</v>
      </c>
      <c r="K14" s="154">
        <v>42824</v>
      </c>
      <c r="L14" s="159">
        <v>70071</v>
      </c>
    </row>
    <row r="15" spans="2:12" x14ac:dyDescent="0.25">
      <c r="B15" s="168" t="s">
        <v>312</v>
      </c>
      <c r="C15" s="169">
        <v>1961297.48</v>
      </c>
      <c r="K15" s="162">
        <v>42838</v>
      </c>
      <c r="L15" s="163">
        <v>341433.47000000003</v>
      </c>
    </row>
    <row r="16" spans="2:12" x14ac:dyDescent="0.25">
      <c r="K16" s="158">
        <v>42840</v>
      </c>
      <c r="L16" s="163">
        <v>413797.54000000004</v>
      </c>
    </row>
    <row r="17" spans="2:12" x14ac:dyDescent="0.25">
      <c r="K17" s="156">
        <v>42851</v>
      </c>
      <c r="L17" s="157">
        <v>9000</v>
      </c>
    </row>
    <row r="18" spans="2:12" x14ac:dyDescent="0.25">
      <c r="B18" s="166" t="s">
        <v>311</v>
      </c>
      <c r="C18" s="167" t="s">
        <v>320</v>
      </c>
      <c r="K18" s="154">
        <v>42858</v>
      </c>
      <c r="L18" s="159">
        <v>205178.98</v>
      </c>
    </row>
    <row r="19" spans="2:12" x14ac:dyDescent="0.25">
      <c r="B19" s="172">
        <v>42536</v>
      </c>
      <c r="C19" s="169">
        <v>14346.504559270517</v>
      </c>
      <c r="K19" s="156">
        <v>42874</v>
      </c>
      <c r="L19" s="157">
        <v>7000</v>
      </c>
    </row>
    <row r="20" spans="2:12" x14ac:dyDescent="0.25">
      <c r="B20" s="172">
        <v>42774</v>
      </c>
      <c r="C20" s="169">
        <v>13499</v>
      </c>
      <c r="K20" s="154">
        <v>42874</v>
      </c>
      <c r="L20" s="155">
        <v>11181.9</v>
      </c>
    </row>
    <row r="21" spans="2:12" x14ac:dyDescent="0.25">
      <c r="B21" s="172">
        <v>42814</v>
      </c>
      <c r="C21" s="169">
        <v>70</v>
      </c>
      <c r="K21" s="156">
        <v>42894</v>
      </c>
      <c r="L21" s="159">
        <v>106927</v>
      </c>
    </row>
    <row r="22" spans="2:12" x14ac:dyDescent="0.25">
      <c r="B22" s="172">
        <v>42817</v>
      </c>
      <c r="C22" s="169">
        <v>56219</v>
      </c>
      <c r="K22" s="154">
        <v>42914</v>
      </c>
      <c r="L22" s="155">
        <v>5000</v>
      </c>
    </row>
    <row r="23" spans="2:12" x14ac:dyDescent="0.25">
      <c r="B23" s="172">
        <v>42818</v>
      </c>
      <c r="C23" s="169">
        <v>98656.03</v>
      </c>
      <c r="K23" s="156">
        <v>42937</v>
      </c>
      <c r="L23" s="159">
        <v>108462</v>
      </c>
    </row>
    <row r="24" spans="2:12" x14ac:dyDescent="0.25">
      <c r="B24" s="172">
        <v>42824</v>
      </c>
      <c r="C24" s="169">
        <v>70071</v>
      </c>
      <c r="K24" s="154">
        <v>42986</v>
      </c>
      <c r="L24" s="155">
        <v>740</v>
      </c>
    </row>
    <row r="25" spans="2:12" x14ac:dyDescent="0.25">
      <c r="B25" s="172">
        <v>42838</v>
      </c>
      <c r="C25" s="169">
        <v>341433.47000000003</v>
      </c>
      <c r="K25" s="156">
        <v>42986</v>
      </c>
      <c r="L25" s="157">
        <v>740</v>
      </c>
    </row>
    <row r="26" spans="2:12" x14ac:dyDescent="0.25">
      <c r="B26" s="172">
        <v>42840</v>
      </c>
      <c r="C26" s="169">
        <v>413797.54000000004</v>
      </c>
      <c r="K26" s="154">
        <v>42992</v>
      </c>
      <c r="L26" s="159">
        <v>71010</v>
      </c>
    </row>
    <row r="27" spans="2:12" x14ac:dyDescent="0.25">
      <c r="B27" s="172">
        <v>42851</v>
      </c>
      <c r="C27" s="169">
        <v>9000</v>
      </c>
      <c r="K27" s="35">
        <v>43007</v>
      </c>
      <c r="L27" s="161">
        <v>115</v>
      </c>
    </row>
    <row r="28" spans="2:12" x14ac:dyDescent="0.25">
      <c r="B28" s="172">
        <v>42858</v>
      </c>
      <c r="C28" s="169">
        <v>205178.98</v>
      </c>
      <c r="K28" s="154">
        <v>43031</v>
      </c>
      <c r="L28" s="160">
        <v>151189</v>
      </c>
    </row>
    <row r="29" spans="2:12" x14ac:dyDescent="0.25">
      <c r="B29" s="172">
        <v>42874</v>
      </c>
      <c r="C29" s="169">
        <v>18181.900000000001</v>
      </c>
      <c r="K29" s="156">
        <v>43038</v>
      </c>
      <c r="L29" s="159">
        <v>954.5</v>
      </c>
    </row>
    <row r="30" spans="2:12" x14ac:dyDescent="0.25">
      <c r="B30" s="172">
        <v>42894</v>
      </c>
      <c r="C30" s="169">
        <v>106927</v>
      </c>
      <c r="K30" s="154">
        <v>43045</v>
      </c>
      <c r="L30" s="159">
        <v>73983</v>
      </c>
    </row>
    <row r="31" spans="2:12" x14ac:dyDescent="0.25">
      <c r="B31" s="172">
        <v>42914</v>
      </c>
      <c r="C31" s="169">
        <v>5000</v>
      </c>
    </row>
    <row r="32" spans="2:12" x14ac:dyDescent="0.25">
      <c r="B32" s="172">
        <v>42937</v>
      </c>
      <c r="C32" s="169">
        <v>108462</v>
      </c>
    </row>
    <row r="33" spans="2:3" x14ac:dyDescent="0.25">
      <c r="B33" s="172">
        <v>42986</v>
      </c>
      <c r="C33" s="169">
        <v>1480</v>
      </c>
    </row>
    <row r="34" spans="2:3" x14ac:dyDescent="0.25">
      <c r="B34" s="172">
        <v>42992</v>
      </c>
      <c r="C34" s="169">
        <v>71010</v>
      </c>
    </row>
    <row r="35" spans="2:3" x14ac:dyDescent="0.25">
      <c r="B35" s="172">
        <v>43007</v>
      </c>
      <c r="C35" s="169">
        <v>115</v>
      </c>
    </row>
    <row r="36" spans="2:3" x14ac:dyDescent="0.25">
      <c r="B36" s="172">
        <v>43031</v>
      </c>
      <c r="C36" s="169">
        <v>151189</v>
      </c>
    </row>
    <row r="37" spans="2:3" x14ac:dyDescent="0.25">
      <c r="B37" s="172">
        <v>43038</v>
      </c>
      <c r="C37" s="169">
        <v>954.5</v>
      </c>
    </row>
    <row r="38" spans="2:3" x14ac:dyDescent="0.25">
      <c r="B38" s="172">
        <v>43045</v>
      </c>
      <c r="C38" s="169">
        <v>73983</v>
      </c>
    </row>
    <row r="39" spans="2:3" x14ac:dyDescent="0.25">
      <c r="B39" s="172" t="s">
        <v>312</v>
      </c>
      <c r="C39" s="169">
        <v>1759573.9245592705</v>
      </c>
    </row>
    <row r="40" spans="2:3" x14ac:dyDescent="0.25">
      <c r="B40" s="170"/>
      <c r="C40" s="164"/>
    </row>
    <row r="41" spans="2:3" x14ac:dyDescent="0.25">
      <c r="B41" s="170"/>
      <c r="C41" s="164"/>
    </row>
    <row r="42" spans="2:3" x14ac:dyDescent="0.25">
      <c r="B42" s="170"/>
      <c r="C42" s="164"/>
    </row>
    <row r="43" spans="2:3" x14ac:dyDescent="0.25">
      <c r="B43" s="170"/>
      <c r="C43" s="164"/>
    </row>
    <row r="44" spans="2:3" x14ac:dyDescent="0.25">
      <c r="B44" s="170"/>
      <c r="C44" s="164"/>
    </row>
    <row r="45" spans="2:3" x14ac:dyDescent="0.25">
      <c r="B45" s="170"/>
      <c r="C45" s="164"/>
    </row>
    <row r="46" spans="2:3" x14ac:dyDescent="0.25">
      <c r="B46" s="170"/>
      <c r="C46" s="164"/>
    </row>
    <row r="47" spans="2:3" x14ac:dyDescent="0.25">
      <c r="B47" s="170"/>
      <c r="C47" s="164"/>
    </row>
    <row r="48" spans="2:3" x14ac:dyDescent="0.25">
      <c r="B48" s="170"/>
      <c r="C48" s="164"/>
    </row>
    <row r="49" spans="2:3" x14ac:dyDescent="0.25">
      <c r="B49" s="170"/>
      <c r="C49" s="164"/>
    </row>
    <row r="50" spans="2:3" x14ac:dyDescent="0.25">
      <c r="B50" s="170"/>
      <c r="C50" s="164"/>
    </row>
    <row r="51" spans="2:3" x14ac:dyDescent="0.25">
      <c r="B51" s="170"/>
      <c r="C51" s="164"/>
    </row>
    <row r="52" spans="2:3" x14ac:dyDescent="0.25">
      <c r="B52" s="170"/>
      <c r="C52" s="164"/>
    </row>
    <row r="53" spans="2:3" x14ac:dyDescent="0.25">
      <c r="B53" s="170"/>
      <c r="C53" s="164"/>
    </row>
    <row r="54" spans="2:3" x14ac:dyDescent="0.25">
      <c r="B54" s="170"/>
      <c r="C54" s="164"/>
    </row>
    <row r="55" spans="2:3" x14ac:dyDescent="0.25">
      <c r="B55" s="170"/>
      <c r="C55" s="164"/>
    </row>
    <row r="56" spans="2:3" x14ac:dyDescent="0.25">
      <c r="B56" s="170"/>
      <c r="C56" s="164"/>
    </row>
    <row r="57" spans="2:3" x14ac:dyDescent="0.25">
      <c r="B57" s="170"/>
      <c r="C57" s="164"/>
    </row>
    <row r="58" spans="2:3" x14ac:dyDescent="0.25">
      <c r="B58" s="170"/>
      <c r="C58" s="164"/>
    </row>
    <row r="59" spans="2:3" x14ac:dyDescent="0.25">
      <c r="B59" s="170"/>
      <c r="C59" s="164"/>
    </row>
    <row r="60" spans="2:3" x14ac:dyDescent="0.25">
      <c r="B60" s="170"/>
      <c r="C60" s="164"/>
    </row>
    <row r="61" spans="2:3" x14ac:dyDescent="0.25">
      <c r="B61" s="170"/>
      <c r="C61" s="164"/>
    </row>
    <row r="62" spans="2:3" x14ac:dyDescent="0.25">
      <c r="B62" s="170"/>
      <c r="C62" s="164"/>
    </row>
    <row r="63" spans="2:3" x14ac:dyDescent="0.25">
      <c r="B63" s="170"/>
      <c r="C63" s="164"/>
    </row>
    <row r="64" spans="2:3" x14ac:dyDescent="0.25">
      <c r="B64" s="170"/>
      <c r="C64" s="164"/>
    </row>
    <row r="65" spans="2:3" x14ac:dyDescent="0.25">
      <c r="B65" s="170"/>
      <c r="C65" s="164"/>
    </row>
    <row r="66" spans="2:3" x14ac:dyDescent="0.25">
      <c r="B66" s="170"/>
      <c r="C66" s="164"/>
    </row>
    <row r="67" spans="2:3" x14ac:dyDescent="0.25">
      <c r="B67" s="170"/>
      <c r="C67" s="164"/>
    </row>
    <row r="68" spans="2:3" x14ac:dyDescent="0.25">
      <c r="B68" s="170"/>
      <c r="C68" s="164"/>
    </row>
    <row r="69" spans="2:3" x14ac:dyDescent="0.25">
      <c r="B69" s="170"/>
      <c r="C69" s="164"/>
    </row>
    <row r="70" spans="2:3" x14ac:dyDescent="0.25">
      <c r="B70" s="170"/>
      <c r="C70" s="164"/>
    </row>
    <row r="71" spans="2:3" x14ac:dyDescent="0.25">
      <c r="B71" s="170"/>
      <c r="C71" s="164"/>
    </row>
    <row r="72" spans="2:3" x14ac:dyDescent="0.25">
      <c r="B72" s="170"/>
      <c r="C72" s="164"/>
    </row>
    <row r="73" spans="2:3" x14ac:dyDescent="0.25">
      <c r="B73" s="170"/>
      <c r="C73" s="164"/>
    </row>
    <row r="74" spans="2:3" x14ac:dyDescent="0.25">
      <c r="B74" s="170"/>
      <c r="C74" s="164"/>
    </row>
    <row r="75" spans="2:3" x14ac:dyDescent="0.25">
      <c r="B75" s="170"/>
      <c r="C75" s="164"/>
    </row>
    <row r="76" spans="2:3" x14ac:dyDescent="0.25">
      <c r="B76" s="170"/>
      <c r="C76" s="164"/>
    </row>
    <row r="77" spans="2:3" x14ac:dyDescent="0.25">
      <c r="B77" s="170"/>
      <c r="C77" s="164"/>
    </row>
    <row r="78" spans="2:3" x14ac:dyDescent="0.25">
      <c r="B78" s="170"/>
      <c r="C78" s="164"/>
    </row>
    <row r="79" spans="2:3" x14ac:dyDescent="0.25">
      <c r="B79" s="170"/>
      <c r="C79" s="164"/>
    </row>
    <row r="80" spans="2:3" x14ac:dyDescent="0.25">
      <c r="B80" s="170"/>
      <c r="C80" s="164"/>
    </row>
    <row r="81" spans="2:3" x14ac:dyDescent="0.25">
      <c r="B81" s="170"/>
      <c r="C81" s="164"/>
    </row>
    <row r="82" spans="2:3" x14ac:dyDescent="0.25">
      <c r="B82" s="170"/>
      <c r="C82" s="164"/>
    </row>
    <row r="83" spans="2:3" x14ac:dyDescent="0.25">
      <c r="B83" s="170"/>
      <c r="C83" s="164"/>
    </row>
    <row r="84" spans="2:3" x14ac:dyDescent="0.25">
      <c r="B84" s="170"/>
      <c r="C84" s="164"/>
    </row>
    <row r="85" spans="2:3" x14ac:dyDescent="0.25">
      <c r="B85" s="170"/>
      <c r="C85" s="164"/>
    </row>
    <row r="86" spans="2:3" x14ac:dyDescent="0.25">
      <c r="B86" s="170"/>
      <c r="C86" s="164"/>
    </row>
    <row r="87" spans="2:3" x14ac:dyDescent="0.25">
      <c r="B87" s="170"/>
      <c r="C87" s="164"/>
    </row>
    <row r="88" spans="2:3" x14ac:dyDescent="0.25">
      <c r="B88" s="170"/>
      <c r="C88" s="164"/>
    </row>
    <row r="89" spans="2:3" x14ac:dyDescent="0.25">
      <c r="B89" s="170"/>
      <c r="C89" s="164"/>
    </row>
    <row r="90" spans="2:3" x14ac:dyDescent="0.25">
      <c r="B90" s="170"/>
      <c r="C90" s="164"/>
    </row>
    <row r="91" spans="2:3" x14ac:dyDescent="0.25">
      <c r="B91" s="170"/>
      <c r="C91" s="164"/>
    </row>
    <row r="92" spans="2:3" x14ac:dyDescent="0.25">
      <c r="B92" s="170"/>
      <c r="C92" s="164"/>
    </row>
    <row r="93" spans="2:3" x14ac:dyDescent="0.25">
      <c r="B93" s="170"/>
      <c r="C93" s="164"/>
    </row>
    <row r="94" spans="2:3" x14ac:dyDescent="0.25">
      <c r="B94" s="170"/>
      <c r="C94" s="164"/>
    </row>
    <row r="95" spans="2:3" x14ac:dyDescent="0.25">
      <c r="B95" s="170"/>
      <c r="C95" s="164"/>
    </row>
    <row r="96" spans="2:3" x14ac:dyDescent="0.25">
      <c r="B96" s="170"/>
      <c r="C96" s="164"/>
    </row>
    <row r="97" spans="2:3" x14ac:dyDescent="0.25">
      <c r="B97" s="170"/>
      <c r="C97" s="164"/>
    </row>
    <row r="98" spans="2:3" x14ac:dyDescent="0.25">
      <c r="B98" s="170"/>
      <c r="C98" s="164"/>
    </row>
    <row r="99" spans="2:3" x14ac:dyDescent="0.25">
      <c r="B99" s="170"/>
      <c r="C99" s="164"/>
    </row>
    <row r="100" spans="2:3" x14ac:dyDescent="0.25">
      <c r="B100" s="170"/>
      <c r="C100" s="164"/>
    </row>
    <row r="101" spans="2:3" x14ac:dyDescent="0.25">
      <c r="B101" s="170"/>
      <c r="C101" s="164"/>
    </row>
    <row r="102" spans="2:3" x14ac:dyDescent="0.25">
      <c r="B102" s="170"/>
      <c r="C102" s="165"/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2017-18 Actual &amp; Projection</vt:lpstr>
      <vt:lpstr>Electricity Bills</vt:lpstr>
      <vt:lpstr>CBIB</vt:lpstr>
      <vt:lpstr>ADSL</vt:lpstr>
      <vt:lpstr>Expense Sheet ADSL &amp; CBIB</vt:lpstr>
      <vt:lpstr>Cash Expenses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TAPAN-PC</cp:lastModifiedBy>
  <dcterms:created xsi:type="dcterms:W3CDTF">2017-10-03T07:34:18Z</dcterms:created>
  <dcterms:modified xsi:type="dcterms:W3CDTF">2017-12-27T11:47:51Z</dcterms:modified>
</cp:coreProperties>
</file>